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worksheets/sheet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11.xml" ContentType="application/vnd.openxmlformats-officedocument.spreadsheetml.worksheet+xml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10.xml" ContentType="application/vnd.openxmlformats-officedocument.spreadsheetml.worksheet+xml"/>
  <Override PartName="/xl/embeddings/oleObject1.bin" ContentType="application/vnd.openxmlformats-officedocument.oleObject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/>
  <bookViews>
    <workbookView xWindow="600" yWindow="15" windowWidth="18135" windowHeight="11760" tabRatio="705"/>
  </bookViews>
  <sheets>
    <sheet name="短路电流计算及热稳定校验" sheetId="11" r:id="rId1"/>
    <sheet name="热稳定校验1" sheetId="12" state="hidden" r:id="rId2"/>
    <sheet name="热稳定校验2" sheetId="10" state="hidden" r:id="rId3"/>
    <sheet name="短路电流计算" sheetId="1" state="hidden" r:id="rId4"/>
    <sheet name="输电线路阻抗表" sheetId="2" state="hidden" r:id="rId5"/>
    <sheet name="变压器阻抗表" sheetId="3" state="hidden" r:id="rId6"/>
    <sheet name="母线阻抗表" sheetId="4" state="hidden" r:id="rId7"/>
    <sheet name="电力电缆短路阻抗" sheetId="5" state="hidden" r:id="rId8"/>
    <sheet name="多拼电缆阻抗" sheetId="6" state="hidden" r:id="rId9"/>
    <sheet name="铜导线钢管布线" sheetId="7" state="hidden" r:id="rId10"/>
    <sheet name="0.4kv电力系统短路阻抗" sheetId="8" state="hidden" r:id="rId11"/>
  </sheets>
  <definedNames>
    <definedName name="变压器容量">变压器阻抗表!$J$18:$J$27</definedName>
    <definedName name="变压器阻抗2">OFFSET(变压器阻抗表!G14,MATCH(短路电流计算及热稳定校验!XFC1,变压器容量,0),1,,COUNTA(OFFSET(变压器阻抗表!H14:J14,MATCH(短路电流计算及热稳定校验!XFC1,变压器容量,0),)))</definedName>
    <definedName name="低压配电母线">母线阻抗表!$J$11:$J$12</definedName>
    <definedName name="电缆">热稳定校验2!$O$23:$O$27</definedName>
    <definedName name="电缆面积">多拼电缆阻抗!$B$6:$B$9</definedName>
    <definedName name="电力电缆">电力电缆短路阻抗!$N$22:$N$25</definedName>
    <definedName name="电压">输电线路阻抗表!$O$12:$O$14</definedName>
    <definedName name="多拼电缆">多拼电缆阻抗!$N$2:$N$13</definedName>
    <definedName name="封闭母线">母线阻抗表!$L$110:$L$111</definedName>
    <definedName name="高压侧短路容量">'0.4kv电力系统短路阻抗'!$B$2:$I$2</definedName>
    <definedName name="高压侧系统容量">'0.4kv电力系统短路阻抗'!$B$2:$I$2</definedName>
    <definedName name="截面">铜导线钢管布线!$A$3:$A$16</definedName>
    <definedName name="截面积">电力电缆短路阻抗!$A$6:$A$21</definedName>
    <definedName name="母线额定电流">母线阻抗表!$A$103:$A$118</definedName>
    <definedName name="母线规格">母线阻抗表!$A$5:$A$20</definedName>
    <definedName name="母线相间距离">母线阻抗表!$C$42:$I$42</definedName>
    <definedName name="时间">热稳定校验2!$O$32:$O$35</definedName>
    <definedName name="系统容量">输电线路阻抗表!$O$17:$O$21</definedName>
    <definedName name="线路截面积">输电线路阻抗表!$C$62:$M$62</definedName>
    <definedName name="线路类型">输电线路阻抗表!$R$4:$R$5</definedName>
  </definedNames>
  <calcPr calcId="124519"/>
</workbook>
</file>

<file path=xl/calcChain.xml><?xml version="1.0" encoding="utf-8"?>
<calcChain xmlns="http://schemas.openxmlformats.org/spreadsheetml/2006/main">
  <c r="B16" i="11"/>
  <c r="F38" i="3"/>
  <c r="E38"/>
  <c r="B23" i="11" l="1"/>
  <c r="E57" i="12" l="1"/>
  <c r="I57" i="10"/>
  <c r="I57" i="12"/>
  <c r="E23" i="1"/>
  <c r="E22"/>
  <c r="E19"/>
  <c r="E18"/>
  <c r="E17"/>
  <c r="E16"/>
  <c r="C23"/>
  <c r="A23"/>
  <c r="C22"/>
  <c r="A22"/>
  <c r="C19"/>
  <c r="A19"/>
  <c r="C18"/>
  <c r="A18"/>
  <c r="C17"/>
  <c r="A17"/>
  <c r="H16"/>
  <c r="C16"/>
  <c r="A16"/>
  <c r="B13"/>
  <c r="B12"/>
  <c r="B10"/>
  <c r="B24" i="11" l="1"/>
  <c r="E57" i="10" s="1"/>
  <c r="I10" i="1" l="1"/>
  <c r="H10"/>
  <c r="G10"/>
  <c r="F10"/>
  <c r="C4"/>
  <c r="I8"/>
  <c r="H8"/>
  <c r="G8"/>
  <c r="F8"/>
  <c r="L23"/>
  <c r="P23" s="1"/>
  <c r="K23"/>
  <c r="N23" s="1"/>
  <c r="J23"/>
  <c r="O23" s="1"/>
  <c r="I23"/>
  <c r="M23" s="1"/>
  <c r="L22"/>
  <c r="P22" s="1"/>
  <c r="K22"/>
  <c r="N22" s="1"/>
  <c r="J22"/>
  <c r="O22" s="1"/>
  <c r="I22"/>
  <c r="M22" s="1"/>
  <c r="L19"/>
  <c r="P19" s="1"/>
  <c r="K19"/>
  <c r="N19" s="1"/>
  <c r="J19"/>
  <c r="O19" s="1"/>
  <c r="I19"/>
  <c r="M19" s="1"/>
  <c r="L18"/>
  <c r="P18" s="1"/>
  <c r="K18"/>
  <c r="N18" s="1"/>
  <c r="J18"/>
  <c r="O18" s="1"/>
  <c r="I18"/>
  <c r="M18" s="1"/>
  <c r="L17"/>
  <c r="P17" s="1"/>
  <c r="K17"/>
  <c r="N17" s="1"/>
  <c r="J17"/>
  <c r="O17" s="1"/>
  <c r="I17"/>
  <c r="M17" s="1"/>
  <c r="L16"/>
  <c r="P16" s="1"/>
  <c r="K16"/>
  <c r="N16" s="1"/>
  <c r="J16"/>
  <c r="O16" s="1"/>
  <c r="I16"/>
  <c r="M16" s="1"/>
  <c r="C123" i="4"/>
  <c r="L59"/>
  <c r="L60"/>
  <c r="G13" i="1"/>
  <c r="F13"/>
  <c r="D13"/>
  <c r="F27" i="3"/>
  <c r="E27"/>
  <c r="M8" i="1"/>
  <c r="L8"/>
  <c r="K8"/>
  <c r="C29" s="1"/>
  <c r="J8"/>
  <c r="E87" i="2"/>
  <c r="E84"/>
  <c r="C78"/>
  <c r="B29" i="1" l="1"/>
  <c r="H29" s="1"/>
  <c r="B30"/>
  <c r="C30"/>
  <c r="C31" s="1"/>
  <c r="D30"/>
  <c r="L30" s="1"/>
  <c r="F16" i="11" s="1"/>
  <c r="E30" i="1"/>
  <c r="E31" s="1"/>
  <c r="G29"/>
  <c r="F29"/>
  <c r="F30" l="1"/>
  <c r="E32"/>
  <c r="E33" s="1"/>
  <c r="G30"/>
  <c r="J30" s="1"/>
  <c r="D16" i="11" s="1"/>
  <c r="H30" i="1"/>
  <c r="J29"/>
  <c r="D32"/>
  <c r="D33" s="1"/>
  <c r="D31"/>
  <c r="L31" s="1"/>
  <c r="F17" i="11" s="1"/>
  <c r="B32" i="1"/>
  <c r="B31"/>
  <c r="C32"/>
  <c r="C33" s="1"/>
  <c r="L33" l="1"/>
  <c r="F19" i="11" s="1"/>
  <c r="L32" i="1"/>
  <c r="F18" i="11" s="1"/>
  <c r="H31" i="1"/>
  <c r="G31"/>
  <c r="B33"/>
  <c r="H33" s="1"/>
  <c r="F32"/>
  <c r="H32"/>
  <c r="G32"/>
  <c r="F31"/>
  <c r="B19" i="11" l="1"/>
  <c r="K57" i="10" s="1"/>
  <c r="B18" i="11"/>
  <c r="K57" i="12" s="1"/>
  <c r="B17" i="11"/>
  <c r="J32" i="1"/>
  <c r="D18" i="11" s="1"/>
  <c r="J31" i="1"/>
  <c r="D17" i="11" s="1"/>
  <c r="F33" i="1"/>
  <c r="G33"/>
  <c r="J33" s="1"/>
  <c r="D19" i="11" s="1"/>
  <c r="N47" i="10" l="1"/>
  <c r="N46"/>
  <c r="N45"/>
  <c r="N44"/>
  <c r="E60" s="1"/>
  <c r="E62" s="1"/>
  <c r="E24" i="11" s="1"/>
  <c r="F24" s="1"/>
  <c r="N37" i="10"/>
  <c r="N36"/>
  <c r="N35"/>
  <c r="N34"/>
  <c r="N27"/>
  <c r="N26"/>
  <c r="N25"/>
  <c r="N24"/>
  <c r="N17"/>
  <c r="N16"/>
  <c r="N15"/>
  <c r="N14"/>
  <c r="N7"/>
  <c r="N6"/>
  <c r="N5"/>
  <c r="N4"/>
  <c r="N47" i="12"/>
  <c r="N46"/>
  <c r="N45"/>
  <c r="N44"/>
  <c r="N37"/>
  <c r="N36"/>
  <c r="N35"/>
  <c r="N34"/>
  <c r="N27"/>
  <c r="N26"/>
  <c r="N25"/>
  <c r="N24"/>
  <c r="N17"/>
  <c r="N16"/>
  <c r="N15"/>
  <c r="N14"/>
  <c r="N7"/>
  <c r="N6"/>
  <c r="N5"/>
  <c r="N4"/>
  <c r="E60" l="1"/>
  <c r="E62" s="1"/>
  <c r="E23" i="11" s="1"/>
  <c r="F23" s="1"/>
</calcChain>
</file>

<file path=xl/sharedStrings.xml><?xml version="1.0" encoding="utf-8"?>
<sst xmlns="http://schemas.openxmlformats.org/spreadsheetml/2006/main" count="445" uniqueCount="275">
  <si>
    <t>6kv每公里输电线路阻抗表</t>
    <phoneticPr fontId="1" type="noConversion"/>
  </si>
  <si>
    <t>线路类型</t>
    <phoneticPr fontId="1" type="noConversion"/>
  </si>
  <si>
    <t>阻抗代号</t>
    <phoneticPr fontId="1" type="noConversion"/>
  </si>
  <si>
    <r>
      <t>线路截面积（mm</t>
    </r>
    <r>
      <rPr>
        <vertAlign val="superscript"/>
        <sz val="14"/>
        <color theme="1"/>
        <rFont val="宋体"/>
        <family val="3"/>
        <charset val="134"/>
        <scheme val="minor"/>
      </rPr>
      <t>2</t>
    </r>
    <r>
      <rPr>
        <sz val="14"/>
        <color theme="1"/>
        <rFont val="宋体"/>
        <family val="2"/>
        <charset val="134"/>
        <scheme val="minor"/>
      </rPr>
      <t>）</t>
    </r>
    <phoneticPr fontId="1" type="noConversion"/>
  </si>
  <si>
    <t>铜芯交联聚乙烯电缆</t>
    <phoneticPr fontId="1" type="noConversion"/>
  </si>
  <si>
    <t>r0</t>
    <phoneticPr fontId="1" type="noConversion"/>
  </si>
  <si>
    <t>x0</t>
    <phoneticPr fontId="1" type="noConversion"/>
  </si>
  <si>
    <t>r*</t>
    <phoneticPr fontId="1" type="noConversion"/>
  </si>
  <si>
    <t>x*</t>
    <phoneticPr fontId="1" type="noConversion"/>
  </si>
  <si>
    <t>10kv每公里输电线路阻抗表</t>
    <phoneticPr fontId="1" type="noConversion"/>
  </si>
  <si>
    <t>35kv每公里输电线路阻抗表</t>
    <phoneticPr fontId="1" type="noConversion"/>
  </si>
  <si>
    <t>变压器阻抗(豪欧)</t>
    <phoneticPr fontId="1" type="noConversion"/>
  </si>
  <si>
    <t>阻抗代号</t>
    <phoneticPr fontId="1" type="noConversion"/>
  </si>
  <si>
    <r>
      <t>Z</t>
    </r>
    <r>
      <rPr>
        <vertAlign val="subscript"/>
        <sz val="14"/>
        <color theme="1"/>
        <rFont val="宋体"/>
        <family val="3"/>
        <charset val="134"/>
        <scheme val="minor"/>
      </rPr>
      <t>T</t>
    </r>
    <phoneticPr fontId="1" type="noConversion"/>
  </si>
  <si>
    <t>阻抗电压（%）</t>
    <phoneticPr fontId="1" type="noConversion"/>
  </si>
  <si>
    <t>变压器容量（KVA）</t>
    <phoneticPr fontId="1" type="noConversion"/>
  </si>
  <si>
    <t>母线规格（宽X厚）（mm）</t>
    <phoneticPr fontId="1" type="noConversion"/>
  </si>
  <si>
    <t>铜TMY</t>
  </si>
  <si>
    <t>铜TMY</t>
    <phoneticPr fontId="1" type="noConversion"/>
  </si>
  <si>
    <t>铝LMY</t>
  </si>
  <si>
    <t>铝LMY</t>
    <phoneticPr fontId="1" type="noConversion"/>
  </si>
  <si>
    <r>
      <t>r</t>
    </r>
    <r>
      <rPr>
        <vertAlign val="subscript"/>
        <sz val="14"/>
        <color theme="1"/>
        <rFont val="宋体"/>
        <family val="3"/>
        <charset val="134"/>
        <scheme val="minor"/>
      </rPr>
      <t>20</t>
    </r>
    <r>
      <rPr>
        <sz val="14"/>
        <color theme="1"/>
        <rFont val="宋体"/>
        <family val="2"/>
        <charset val="134"/>
        <scheme val="minor"/>
      </rPr>
      <t>(20℃)</t>
    </r>
    <phoneticPr fontId="1" type="noConversion"/>
  </si>
  <si>
    <r>
      <t>r</t>
    </r>
    <r>
      <rPr>
        <vertAlign val="subscript"/>
        <sz val="14"/>
        <color theme="1"/>
        <rFont val="宋体"/>
        <family val="3"/>
        <charset val="134"/>
        <scheme val="minor"/>
      </rPr>
      <t>20</t>
    </r>
    <phoneticPr fontId="1" type="noConversion"/>
  </si>
  <si>
    <r>
      <t>R</t>
    </r>
    <r>
      <rPr>
        <vertAlign val="subscript"/>
        <sz val="14"/>
        <color theme="1"/>
        <rFont val="宋体"/>
        <family val="3"/>
        <charset val="134"/>
        <scheme val="minor"/>
      </rPr>
      <t>T</t>
    </r>
    <r>
      <rPr>
        <sz val="14"/>
        <color theme="1"/>
        <rFont val="宋体"/>
        <family val="2"/>
        <charset val="134"/>
        <scheme val="minor"/>
      </rPr>
      <t>(R</t>
    </r>
    <r>
      <rPr>
        <vertAlign val="subscript"/>
        <sz val="14"/>
        <color theme="1"/>
        <rFont val="宋体"/>
        <family val="2"/>
        <charset val="134"/>
        <scheme val="minor"/>
      </rPr>
      <t>p</t>
    </r>
    <r>
      <rPr>
        <sz val="14"/>
        <color theme="1"/>
        <rFont val="宋体"/>
        <family val="2"/>
        <charset val="134"/>
        <scheme val="minor"/>
      </rPr>
      <t>)</t>
    </r>
    <phoneticPr fontId="1" type="noConversion"/>
  </si>
  <si>
    <r>
      <t>X</t>
    </r>
    <r>
      <rPr>
        <vertAlign val="subscript"/>
        <sz val="14"/>
        <color theme="1"/>
        <rFont val="宋体"/>
        <family val="3"/>
        <charset val="134"/>
        <scheme val="minor"/>
      </rPr>
      <t>T</t>
    </r>
    <r>
      <rPr>
        <sz val="14"/>
        <color theme="1"/>
        <rFont val="宋体"/>
        <family val="2"/>
        <charset val="134"/>
        <scheme val="minor"/>
      </rPr>
      <t>(X</t>
    </r>
    <r>
      <rPr>
        <vertAlign val="subscript"/>
        <sz val="14"/>
        <color theme="1"/>
        <rFont val="宋体"/>
        <family val="2"/>
        <charset val="134"/>
        <scheme val="minor"/>
      </rPr>
      <t>p</t>
    </r>
    <r>
      <rPr>
        <sz val="14"/>
        <color theme="1"/>
        <rFont val="宋体"/>
        <family val="2"/>
        <charset val="134"/>
        <scheme val="minor"/>
      </rPr>
      <t>)</t>
    </r>
    <phoneticPr fontId="1" type="noConversion"/>
  </si>
  <si>
    <r>
      <t>r</t>
    </r>
    <r>
      <rPr>
        <vertAlign val="subscript"/>
        <sz val="14"/>
        <color theme="1"/>
        <rFont val="宋体"/>
        <family val="3"/>
        <charset val="134"/>
        <scheme val="minor"/>
      </rPr>
      <t>0</t>
    </r>
    <phoneticPr fontId="1" type="noConversion"/>
  </si>
  <si>
    <r>
      <t>r</t>
    </r>
    <r>
      <rPr>
        <vertAlign val="subscript"/>
        <sz val="14"/>
        <color theme="1"/>
        <rFont val="宋体"/>
        <family val="2"/>
        <charset val="134"/>
        <scheme val="minor"/>
      </rPr>
      <t>p</t>
    </r>
    <phoneticPr fontId="1" type="noConversion"/>
  </si>
  <si>
    <t>30X4(30X4)</t>
    <phoneticPr fontId="1" type="noConversion"/>
  </si>
  <si>
    <t>40X4(30X4)</t>
    <phoneticPr fontId="1" type="noConversion"/>
  </si>
  <si>
    <t>40X5(30X4)</t>
    <phoneticPr fontId="1" type="noConversion"/>
  </si>
  <si>
    <t>50X6(40X4)</t>
  </si>
  <si>
    <t>50X6(40X4)</t>
    <phoneticPr fontId="1" type="noConversion"/>
  </si>
  <si>
    <t>60X6(40X5)</t>
  </si>
  <si>
    <t>60X6(40X5)</t>
    <phoneticPr fontId="1" type="noConversion"/>
  </si>
  <si>
    <t>80X6(50X6)</t>
  </si>
  <si>
    <t>80X6(50X6)</t>
    <phoneticPr fontId="1" type="noConversion"/>
  </si>
  <si>
    <t>100X6(60X6)</t>
  </si>
  <si>
    <t>100X6(60X6)</t>
    <phoneticPr fontId="1" type="noConversion"/>
  </si>
  <si>
    <t>60X8(50X6)</t>
    <phoneticPr fontId="1" type="noConversion"/>
  </si>
  <si>
    <t>80X8(60X6)</t>
  </si>
  <si>
    <t>80X8(60X6)</t>
    <phoneticPr fontId="1" type="noConversion"/>
  </si>
  <si>
    <t>100X8(80X6)</t>
  </si>
  <si>
    <t>100X8(80X6)</t>
    <phoneticPr fontId="1" type="noConversion"/>
  </si>
  <si>
    <t>120X8(80X8)</t>
  </si>
  <si>
    <t>120X8(80X8)</t>
    <phoneticPr fontId="1" type="noConversion"/>
  </si>
  <si>
    <t>60X10(60X6)</t>
  </si>
  <si>
    <t>60X10(60X6)</t>
    <phoneticPr fontId="1" type="noConversion"/>
  </si>
  <si>
    <t>80X10(80X6)</t>
  </si>
  <si>
    <t>80X10(80X6)</t>
    <phoneticPr fontId="1" type="noConversion"/>
  </si>
  <si>
    <t>100X10(80X8)</t>
    <phoneticPr fontId="1" type="noConversion"/>
  </si>
  <si>
    <t>120X10(80X8)</t>
  </si>
  <si>
    <t>120X10(80X8)</t>
    <phoneticPr fontId="1" type="noConversion"/>
  </si>
  <si>
    <t>母线规格（宽X厚）（mm）</t>
    <phoneticPr fontId="1" type="noConversion"/>
  </si>
  <si>
    <t>电抗代号</t>
    <phoneticPr fontId="1" type="noConversion"/>
  </si>
  <si>
    <t xml:space="preserve"> 母线每米阻抗表（毫欧/米）</t>
    <phoneticPr fontId="1" type="noConversion"/>
  </si>
  <si>
    <t>母线每米电抗表（毫欧/米）</t>
    <phoneticPr fontId="1" type="noConversion"/>
  </si>
  <si>
    <t>相间距离（mm）</t>
    <phoneticPr fontId="1" type="noConversion"/>
  </si>
  <si>
    <t>X</t>
    <phoneticPr fontId="1" type="noConversion"/>
  </si>
  <si>
    <r>
      <t>X</t>
    </r>
    <r>
      <rPr>
        <vertAlign val="subscript"/>
        <sz val="14"/>
        <color theme="1"/>
        <rFont val="宋体"/>
        <family val="3"/>
        <charset val="134"/>
        <scheme val="minor"/>
      </rPr>
      <t>0</t>
    </r>
    <phoneticPr fontId="1" type="noConversion"/>
  </si>
  <si>
    <t>50X5(40X4)</t>
    <phoneticPr fontId="1" type="noConversion"/>
  </si>
  <si>
    <t>母线额定电流（A）</t>
    <phoneticPr fontId="1" type="noConversion"/>
  </si>
  <si>
    <t>铜</t>
    <phoneticPr fontId="1" type="noConversion"/>
  </si>
  <si>
    <t>铝</t>
    <phoneticPr fontId="1" type="noConversion"/>
  </si>
  <si>
    <r>
      <t>r</t>
    </r>
    <r>
      <rPr>
        <vertAlign val="subscript"/>
        <sz val="14"/>
        <color theme="1"/>
        <rFont val="宋体"/>
        <family val="3"/>
        <charset val="134"/>
        <scheme val="minor"/>
      </rPr>
      <t>p</t>
    </r>
    <phoneticPr fontId="1" type="noConversion"/>
  </si>
  <si>
    <r>
      <t>X</t>
    </r>
    <r>
      <rPr>
        <vertAlign val="subscript"/>
        <sz val="14"/>
        <color theme="1"/>
        <rFont val="宋体"/>
        <family val="3"/>
        <charset val="134"/>
        <scheme val="minor"/>
      </rPr>
      <t>p</t>
    </r>
    <phoneticPr fontId="1" type="noConversion"/>
  </si>
  <si>
    <t>每米封闭母线阻抗表（毫欧/米）</t>
    <phoneticPr fontId="1" type="noConversion"/>
  </si>
  <si>
    <t>r0</t>
    <phoneticPr fontId="1" type="noConversion"/>
  </si>
  <si>
    <t>线路类型</t>
    <phoneticPr fontId="1" type="noConversion"/>
  </si>
  <si>
    <t>铜芯交联聚乙烯电缆</t>
  </si>
  <si>
    <t>线路截面积</t>
    <phoneticPr fontId="1" type="noConversion"/>
  </si>
  <si>
    <t>x0</t>
    <phoneticPr fontId="1" type="noConversion"/>
  </si>
  <si>
    <t>r*</t>
    <phoneticPr fontId="1" type="noConversion"/>
  </si>
  <si>
    <t>X*</t>
    <phoneticPr fontId="1" type="noConversion"/>
  </si>
  <si>
    <t>变压器容量</t>
    <phoneticPr fontId="1" type="noConversion"/>
  </si>
  <si>
    <t>变压器阻抗</t>
    <phoneticPr fontId="1" type="noConversion"/>
  </si>
  <si>
    <t>一级</t>
    <phoneticPr fontId="1" type="noConversion"/>
  </si>
  <si>
    <t>二级</t>
    <phoneticPr fontId="1" type="noConversion"/>
  </si>
  <si>
    <t>S=315 KVA</t>
    <phoneticPr fontId="1" type="noConversion"/>
  </si>
  <si>
    <t>S=400 KVA</t>
    <phoneticPr fontId="1" type="noConversion"/>
  </si>
  <si>
    <t>S=500 KVA</t>
    <phoneticPr fontId="1" type="noConversion"/>
  </si>
  <si>
    <t>S=630 KVA</t>
    <phoneticPr fontId="1" type="noConversion"/>
  </si>
  <si>
    <t>S=800 KVA</t>
    <phoneticPr fontId="1" type="noConversion"/>
  </si>
  <si>
    <t>S=1000 KVA</t>
    <phoneticPr fontId="1" type="noConversion"/>
  </si>
  <si>
    <t>S=1250 KVA</t>
    <phoneticPr fontId="1" type="noConversion"/>
  </si>
  <si>
    <t>S=1600 KVA</t>
    <phoneticPr fontId="1" type="noConversion"/>
  </si>
  <si>
    <t>S=2000 KVA</t>
    <phoneticPr fontId="1" type="noConversion"/>
  </si>
  <si>
    <t>S=2500 KVA</t>
    <phoneticPr fontId="1" type="noConversion"/>
  </si>
  <si>
    <t>定义名称</t>
    <phoneticPr fontId="1" type="noConversion"/>
  </si>
  <si>
    <t>=OFFSET(J17,MATCH(D24,变压器容量,0),1,,COUNTA(OFFSET(K17:M17,MATCH(D24,变压器容量,0),)))</t>
    <phoneticPr fontId="1" type="noConversion"/>
  </si>
  <si>
    <t>阻抗</t>
    <phoneticPr fontId="1" type="noConversion"/>
  </si>
  <si>
    <t>输电线路</t>
    <phoneticPr fontId="1" type="noConversion"/>
  </si>
  <si>
    <t>供电电压</t>
    <phoneticPr fontId="1" type="noConversion"/>
  </si>
  <si>
    <t>输电线路型号</t>
    <phoneticPr fontId="1" type="noConversion"/>
  </si>
  <si>
    <t>长度(Km)</t>
    <phoneticPr fontId="1" type="noConversion"/>
  </si>
  <si>
    <t>铝芯交联聚乙烯电缆</t>
    <phoneticPr fontId="1" type="noConversion"/>
  </si>
  <si>
    <t>铝芯聚氯乙烯绝缘电缆</t>
    <phoneticPr fontId="1" type="noConversion"/>
  </si>
  <si>
    <t>变压器</t>
    <phoneticPr fontId="1" type="noConversion"/>
  </si>
  <si>
    <t>S=500 KVA</t>
  </si>
  <si>
    <t>U%=4</t>
  </si>
  <si>
    <t>=OFFSET(变压器阻抗表!J17,MATCH(短路电流计算!B11,变压器容量,0),1,,COUNTA(OFFSET(变压器阻抗表!K17:M17,MATCH(短路电流计算!B11,变压器容量,0),)))</t>
    <phoneticPr fontId="1" type="noConversion"/>
  </si>
  <si>
    <t>U%=4</t>
    <phoneticPr fontId="1" type="noConversion"/>
  </si>
  <si>
    <t>U%=6</t>
    <phoneticPr fontId="1" type="noConversion"/>
  </si>
  <si>
    <t>U%=8</t>
    <phoneticPr fontId="1" type="noConversion"/>
  </si>
  <si>
    <t>低压一级配电</t>
    <phoneticPr fontId="1" type="noConversion"/>
  </si>
  <si>
    <t>低压配电母线（铜）</t>
    <phoneticPr fontId="1" type="noConversion"/>
  </si>
  <si>
    <t>长度（m）</t>
    <phoneticPr fontId="1" type="noConversion"/>
  </si>
  <si>
    <r>
      <t>r</t>
    </r>
    <r>
      <rPr>
        <vertAlign val="subscript"/>
        <sz val="14"/>
        <color theme="1"/>
        <rFont val="宋体"/>
        <family val="2"/>
        <charset val="134"/>
        <scheme val="minor"/>
      </rPr>
      <t>t</t>
    </r>
    <r>
      <rPr>
        <sz val="14"/>
        <color theme="1"/>
        <rFont val="宋体"/>
        <family val="2"/>
        <charset val="134"/>
        <scheme val="minor"/>
      </rPr>
      <t>(70℃)</t>
    </r>
    <phoneticPr fontId="1" type="noConversion"/>
  </si>
  <si>
    <t>母线规格（mm）</t>
    <phoneticPr fontId="1" type="noConversion"/>
  </si>
  <si>
    <t>低压配电母线（铝）</t>
    <phoneticPr fontId="1" type="noConversion"/>
  </si>
  <si>
    <t>30X4(30X4)</t>
    <phoneticPr fontId="1" type="noConversion"/>
  </si>
  <si>
    <t>40X4(30X4)</t>
    <phoneticPr fontId="1" type="noConversion"/>
  </si>
  <si>
    <t>40X5(30X4)</t>
    <phoneticPr fontId="1" type="noConversion"/>
  </si>
  <si>
    <t>60X8(50X6)</t>
    <phoneticPr fontId="1" type="noConversion"/>
  </si>
  <si>
    <r>
      <t>r</t>
    </r>
    <r>
      <rPr>
        <vertAlign val="subscript"/>
        <sz val="10"/>
        <color theme="1"/>
        <rFont val="宋体"/>
        <family val="3"/>
        <charset val="134"/>
        <scheme val="minor"/>
      </rPr>
      <t xml:space="preserve">0 </t>
    </r>
    <r>
      <rPr>
        <sz val="10"/>
        <color theme="1"/>
        <rFont val="宋体"/>
        <family val="3"/>
        <charset val="134"/>
        <scheme val="minor"/>
      </rPr>
      <t>(Ω/km)</t>
    </r>
    <phoneticPr fontId="1" type="noConversion"/>
  </si>
  <si>
    <r>
      <t>x</t>
    </r>
    <r>
      <rPr>
        <vertAlign val="subscript"/>
        <sz val="10"/>
        <color theme="1"/>
        <rFont val="宋体"/>
        <family val="3"/>
        <charset val="134"/>
        <scheme val="minor"/>
      </rPr>
      <t>0</t>
    </r>
    <r>
      <rPr>
        <sz val="10"/>
        <color theme="1"/>
        <rFont val="宋体"/>
        <family val="3"/>
        <charset val="134"/>
        <scheme val="minor"/>
      </rPr>
      <t>(Ω/km)</t>
    </r>
    <phoneticPr fontId="1" type="noConversion"/>
  </si>
  <si>
    <r>
      <t>R</t>
    </r>
    <r>
      <rPr>
        <vertAlign val="subscript"/>
        <sz val="10"/>
        <color theme="1"/>
        <rFont val="宋体"/>
        <family val="3"/>
        <charset val="134"/>
        <scheme val="minor"/>
      </rPr>
      <t>0</t>
    </r>
    <r>
      <rPr>
        <sz val="10"/>
        <color theme="1"/>
        <rFont val="宋体"/>
        <family val="3"/>
        <charset val="134"/>
        <scheme val="minor"/>
      </rPr>
      <t>(Ω)</t>
    </r>
    <phoneticPr fontId="1" type="noConversion"/>
  </si>
  <si>
    <r>
      <t>X</t>
    </r>
    <r>
      <rPr>
        <vertAlign val="subscript"/>
        <sz val="10"/>
        <color theme="1"/>
        <rFont val="宋体"/>
        <family val="3"/>
        <charset val="134"/>
        <scheme val="minor"/>
      </rPr>
      <t>0</t>
    </r>
    <r>
      <rPr>
        <sz val="10"/>
        <color theme="1"/>
        <rFont val="宋体"/>
        <family val="3"/>
        <charset val="134"/>
        <scheme val="minor"/>
      </rPr>
      <t>(Ω)</t>
    </r>
    <phoneticPr fontId="1" type="noConversion"/>
  </si>
  <si>
    <r>
      <t>Z</t>
    </r>
    <r>
      <rPr>
        <vertAlign val="subscript"/>
        <sz val="10"/>
        <color theme="1"/>
        <rFont val="宋体"/>
        <family val="3"/>
        <charset val="134"/>
        <scheme val="minor"/>
      </rPr>
      <t>T</t>
    </r>
    <phoneticPr fontId="1" type="noConversion"/>
  </si>
  <si>
    <r>
      <t>r</t>
    </r>
    <r>
      <rPr>
        <vertAlign val="subscript"/>
        <sz val="10"/>
        <color theme="1"/>
        <rFont val="宋体"/>
        <family val="3"/>
        <charset val="134"/>
        <scheme val="minor"/>
      </rPr>
      <t>0(mΩ/m)</t>
    </r>
    <phoneticPr fontId="1" type="noConversion"/>
  </si>
  <si>
    <r>
      <t>r</t>
    </r>
    <r>
      <rPr>
        <vertAlign val="subscript"/>
        <sz val="10"/>
        <color theme="1"/>
        <rFont val="宋体"/>
        <family val="3"/>
        <charset val="134"/>
        <scheme val="minor"/>
      </rPr>
      <t>p(mΩ/m)</t>
    </r>
    <phoneticPr fontId="1" type="noConversion"/>
  </si>
  <si>
    <t>相间距离(mm)</t>
    <phoneticPr fontId="1" type="noConversion"/>
  </si>
  <si>
    <r>
      <t>R</t>
    </r>
    <r>
      <rPr>
        <vertAlign val="subscript"/>
        <sz val="10"/>
        <color theme="1"/>
        <rFont val="宋体"/>
        <family val="3"/>
        <charset val="134"/>
        <scheme val="minor"/>
      </rPr>
      <t>0</t>
    </r>
    <r>
      <rPr>
        <sz val="10"/>
        <color theme="1"/>
        <rFont val="宋体"/>
        <family val="3"/>
        <charset val="134"/>
        <scheme val="minor"/>
      </rPr>
      <t>(mΩ)</t>
    </r>
    <phoneticPr fontId="1" type="noConversion"/>
  </si>
  <si>
    <r>
      <t>X</t>
    </r>
    <r>
      <rPr>
        <vertAlign val="subscript"/>
        <sz val="10"/>
        <color theme="1"/>
        <rFont val="宋体"/>
        <family val="3"/>
        <charset val="134"/>
        <scheme val="minor"/>
      </rPr>
      <t>0</t>
    </r>
    <r>
      <rPr>
        <sz val="10"/>
        <color theme="1"/>
        <rFont val="宋体"/>
        <family val="3"/>
        <charset val="134"/>
        <scheme val="minor"/>
      </rPr>
      <t>(mΩ)</t>
    </r>
    <phoneticPr fontId="1" type="noConversion"/>
  </si>
  <si>
    <t xml:space="preserve"> 封闭母线（铜）</t>
  </si>
  <si>
    <t xml:space="preserve"> 封闭母线（铜）</t>
    <phoneticPr fontId="1" type="noConversion"/>
  </si>
  <si>
    <t xml:space="preserve"> 封闭母线（铝）</t>
    <phoneticPr fontId="1" type="noConversion"/>
  </si>
  <si>
    <t>额定电流（A）</t>
    <phoneticPr fontId="1" type="noConversion"/>
  </si>
  <si>
    <r>
      <rPr>
        <sz val="11"/>
        <color theme="1"/>
        <rFont val="宋体"/>
        <family val="3"/>
        <charset val="134"/>
        <scheme val="minor"/>
      </rPr>
      <t>=index(if (B103:E118,F103:I118)</t>
    </r>
    <phoneticPr fontId="1" type="noConversion"/>
  </si>
  <si>
    <r>
      <t>R</t>
    </r>
    <r>
      <rPr>
        <vertAlign val="subscript"/>
        <sz val="10"/>
        <color theme="1"/>
        <rFont val="宋体"/>
        <family val="2"/>
        <charset val="134"/>
        <scheme val="minor"/>
      </rPr>
      <t>P</t>
    </r>
    <r>
      <rPr>
        <sz val="10"/>
        <color theme="1"/>
        <rFont val="宋体"/>
        <family val="3"/>
        <charset val="134"/>
        <scheme val="minor"/>
      </rPr>
      <t>(mΩ)</t>
    </r>
    <phoneticPr fontId="1" type="noConversion"/>
  </si>
  <si>
    <r>
      <t>X</t>
    </r>
    <r>
      <rPr>
        <vertAlign val="subscript"/>
        <sz val="10"/>
        <color theme="1"/>
        <rFont val="宋体"/>
        <family val="2"/>
        <charset val="134"/>
        <scheme val="minor"/>
      </rPr>
      <t>P</t>
    </r>
    <r>
      <rPr>
        <sz val="10"/>
        <color theme="1"/>
        <rFont val="宋体"/>
        <family val="3"/>
        <charset val="134"/>
        <scheme val="minor"/>
      </rPr>
      <t>(mΩ)</t>
    </r>
    <phoneticPr fontId="1" type="noConversion"/>
  </si>
  <si>
    <t>每米电缆阻抗表</t>
    <phoneticPr fontId="1" type="noConversion"/>
  </si>
  <si>
    <t>电缆截面积（mm2）</t>
    <phoneticPr fontId="1" type="noConversion"/>
  </si>
  <si>
    <t>交联聚乙烯电力电缆（90℃）</t>
    <phoneticPr fontId="1" type="noConversion"/>
  </si>
  <si>
    <t>聚氯乙烯绝缘电力电缆（70℃）</t>
    <phoneticPr fontId="1" type="noConversion"/>
  </si>
  <si>
    <t>铜芯</t>
    <phoneticPr fontId="1" type="noConversion"/>
  </si>
  <si>
    <t>铝芯</t>
    <phoneticPr fontId="1" type="noConversion"/>
  </si>
  <si>
    <r>
      <t>r</t>
    </r>
    <r>
      <rPr>
        <vertAlign val="subscript"/>
        <sz val="14"/>
        <color theme="1"/>
        <rFont val="宋体"/>
        <family val="3"/>
        <charset val="134"/>
        <scheme val="minor"/>
      </rPr>
      <t>0</t>
    </r>
    <phoneticPr fontId="1" type="noConversion"/>
  </si>
  <si>
    <r>
      <t>r</t>
    </r>
    <r>
      <rPr>
        <vertAlign val="subscript"/>
        <sz val="14"/>
        <color theme="1"/>
        <rFont val="宋体"/>
        <family val="2"/>
        <charset val="134"/>
        <scheme val="minor"/>
      </rPr>
      <t>p</t>
    </r>
    <phoneticPr fontId="1" type="noConversion"/>
  </si>
  <si>
    <r>
      <t>x</t>
    </r>
    <r>
      <rPr>
        <vertAlign val="subscript"/>
        <sz val="14"/>
        <color theme="1"/>
        <rFont val="宋体"/>
        <family val="3"/>
        <charset val="134"/>
        <scheme val="minor"/>
      </rPr>
      <t>0</t>
    </r>
    <phoneticPr fontId="1" type="noConversion"/>
  </si>
  <si>
    <r>
      <t>x</t>
    </r>
    <r>
      <rPr>
        <vertAlign val="subscript"/>
        <sz val="14"/>
        <color theme="1"/>
        <rFont val="宋体"/>
        <family val="2"/>
        <charset val="134"/>
        <scheme val="minor"/>
      </rPr>
      <t>p</t>
    </r>
    <phoneticPr fontId="1" type="noConversion"/>
  </si>
  <si>
    <t>电抗值（mΩ/m）</t>
    <phoneticPr fontId="1" type="noConversion"/>
  </si>
  <si>
    <t>有效电阻值（mΩ/m）</t>
    <phoneticPr fontId="1" type="noConversion"/>
  </si>
  <si>
    <t>多拼电缆每米阻抗表</t>
    <phoneticPr fontId="1" type="noConversion"/>
  </si>
  <si>
    <t>交联聚氯乙烯电缆</t>
    <phoneticPr fontId="1" type="noConversion"/>
  </si>
  <si>
    <t>聚氯乙烯绝缘电缆</t>
    <phoneticPr fontId="1" type="noConversion"/>
  </si>
  <si>
    <t>有效阻抗（mΩ/m）</t>
    <phoneticPr fontId="1" type="noConversion"/>
  </si>
  <si>
    <t>电缆根数</t>
    <phoneticPr fontId="1" type="noConversion"/>
  </si>
  <si>
    <r>
      <t>电缆截面（mm</t>
    </r>
    <r>
      <rPr>
        <vertAlign val="superscript"/>
        <sz val="14"/>
        <color theme="1"/>
        <rFont val="宋体"/>
        <family val="3"/>
        <charset val="134"/>
        <scheme val="minor"/>
      </rPr>
      <t>2</t>
    </r>
    <r>
      <rPr>
        <sz val="14"/>
        <color theme="1"/>
        <rFont val="宋体"/>
        <family val="3"/>
        <charset val="134"/>
        <scheme val="minor"/>
      </rPr>
      <t>）</t>
    </r>
    <phoneticPr fontId="1" type="noConversion"/>
  </si>
  <si>
    <r>
      <t>x</t>
    </r>
    <r>
      <rPr>
        <vertAlign val="subscript"/>
        <sz val="14"/>
        <color theme="1"/>
        <rFont val="宋体"/>
        <family val="3"/>
        <charset val="134"/>
        <scheme val="minor"/>
      </rPr>
      <t>p</t>
    </r>
    <phoneticPr fontId="1" type="noConversion"/>
  </si>
  <si>
    <t>2拼交联聚氯乙烯电缆（铜芯）</t>
    <phoneticPr fontId="1" type="noConversion"/>
  </si>
  <si>
    <t>2拼聚氯乙烯绝缘电缆（铜芯）</t>
    <phoneticPr fontId="1" type="noConversion"/>
  </si>
  <si>
    <t>3拼交联聚氯乙烯电缆（铜芯）</t>
    <phoneticPr fontId="1" type="noConversion"/>
  </si>
  <si>
    <t>3拼聚氯乙烯绝缘电缆（铜芯）</t>
    <phoneticPr fontId="1" type="noConversion"/>
  </si>
  <si>
    <t>4拼交联聚氯乙烯电缆（铜芯）</t>
    <phoneticPr fontId="1" type="noConversion"/>
  </si>
  <si>
    <t>4拼聚氯乙烯绝缘电缆（铜芯）</t>
    <phoneticPr fontId="1" type="noConversion"/>
  </si>
  <si>
    <t>2拼交联聚氯乙烯电缆（铝芯）</t>
    <phoneticPr fontId="1" type="noConversion"/>
  </si>
  <si>
    <t>2拼聚氯乙烯绝缘电缆（铝芯）</t>
    <phoneticPr fontId="1" type="noConversion"/>
  </si>
  <si>
    <t>3拼交联聚氯乙烯电缆（铝芯）</t>
    <phoneticPr fontId="1" type="noConversion"/>
  </si>
  <si>
    <t>3拼聚氯乙烯绝缘电缆（铝芯）</t>
    <phoneticPr fontId="1" type="noConversion"/>
  </si>
  <si>
    <t>4拼交联聚氯乙烯电缆（铝芯）</t>
    <phoneticPr fontId="1" type="noConversion"/>
  </si>
  <si>
    <t>4拼聚氯乙烯绝缘电缆（铝芯）</t>
    <phoneticPr fontId="1" type="noConversion"/>
  </si>
  <si>
    <t>,=index(if(A16="2拼交联聚氯乙烯电缆（铜芯）",C6:C9,if(A16="3拼交联聚氯乙烯电缆（铜芯）",C10:C13,if(A16="4拼交联聚氯乙烯电缆（铜芯）",C14:C17,if(A16="2拼交联聚氯乙烯电缆（铝芯）",E6:E9,if(A16="3拼交联聚氯乙烯电缆（铝芯）",E10:E13,if(A16="4拼交联聚氯乙烯电缆（铝芯）",E14:E17,if(A16="2拼聚氯乙烯绝缘电缆（铜芯）",G6:G9,if(A16="3拼聚氯乙烯绝缘电缆（铜芯）",G10:G13,if(A16="4拼聚氯乙烯绝缘电缆（铜芯）",G14:G17,if(A16="2拼聚氯乙烯绝缘电缆（铝芯）",I6:I9,if(A16="3拼聚氯乙烯绝缘电缆（铜芯）",H10:H13,I14:I17))))))))))),match(C17,电缆面积,0),1)</t>
    <phoneticPr fontId="1" type="noConversion"/>
  </si>
  <si>
    <r>
      <t>x</t>
    </r>
    <r>
      <rPr>
        <vertAlign val="subscript"/>
        <sz val="10"/>
        <color theme="1"/>
        <rFont val="宋体"/>
        <family val="3"/>
        <charset val="134"/>
        <scheme val="minor"/>
      </rPr>
      <t>0(mΩ/m)</t>
    </r>
    <phoneticPr fontId="1" type="noConversion"/>
  </si>
  <si>
    <r>
      <t>x</t>
    </r>
    <r>
      <rPr>
        <vertAlign val="subscript"/>
        <sz val="10"/>
        <color theme="1"/>
        <rFont val="宋体"/>
        <family val="3"/>
        <charset val="134"/>
        <scheme val="minor"/>
      </rPr>
      <t>p(mΩ/m)</t>
    </r>
    <phoneticPr fontId="1" type="noConversion"/>
  </si>
  <si>
    <r>
      <t>,</t>
    </r>
    <r>
      <rPr>
        <sz val="14"/>
        <color theme="1"/>
        <rFont val="宋体"/>
        <family val="3"/>
        <charset val="134"/>
        <scheme val="minor"/>
      </rPr>
      <t>=index(if(value(mid(A17,1,1))=2,多拼电缆阻抗!K6:L9,if(value(mid(A17,1,1))=3,多拼电缆阻抗!K10:L13,多拼电缆阻抗!K14:L17)),match(N22,电缆面积,0),1)</t>
    </r>
    <phoneticPr fontId="1" type="noConversion"/>
  </si>
  <si>
    <t>交联聚乙烯电力电缆（铜芯）</t>
    <phoneticPr fontId="1" type="noConversion"/>
  </si>
  <si>
    <t>聚氯乙烯绝缘电力电缆（铜芯）</t>
    <phoneticPr fontId="1" type="noConversion"/>
  </si>
  <si>
    <t>交联聚乙烯电力电缆（铝芯）</t>
    <phoneticPr fontId="1" type="noConversion"/>
  </si>
  <si>
    <t>聚氯乙烯绝缘电力电缆（铝芯）</t>
    <phoneticPr fontId="1" type="noConversion"/>
  </si>
  <si>
    <t>,=INDEX(IF(A18="交联聚乙烯电力电缆（铜芯）",电力电缆短路阻抗!B6:C21,IF(A18="聚氯乙烯绝缘电力电缆（铜芯）",电力电缆短路阻抗!F6:G21,IF(A18="交联聚乙烯电力电缆（铝芯）",电力电缆短路阻抗!D6:E21,电力电缆短路阻抗!H6:I21))),MATCH(I24,截面积),1)</t>
    <phoneticPr fontId="1" type="noConversion"/>
  </si>
  <si>
    <r>
      <t>,</t>
    </r>
    <r>
      <rPr>
        <sz val="14"/>
        <color theme="1"/>
        <rFont val="宋体"/>
        <family val="2"/>
        <charset val="134"/>
        <scheme val="minor"/>
      </rPr>
      <t>=index(电力电缆短路阻抗!J6:K21,match(G26,截面积,0),1)</t>
    </r>
    <phoneticPr fontId="1" type="noConversion"/>
  </si>
  <si>
    <r>
      <t>电缆截面积（mm</t>
    </r>
    <r>
      <rPr>
        <vertAlign val="superscript"/>
        <sz val="10"/>
        <color theme="1"/>
        <rFont val="宋体"/>
        <family val="3"/>
        <charset val="134"/>
        <scheme val="minor"/>
      </rPr>
      <t>2</t>
    </r>
    <r>
      <rPr>
        <sz val="10"/>
        <color theme="1"/>
        <rFont val="宋体"/>
        <family val="2"/>
        <charset val="134"/>
        <scheme val="minor"/>
      </rPr>
      <t>）</t>
    </r>
    <phoneticPr fontId="1" type="noConversion"/>
  </si>
  <si>
    <r>
      <t>电缆截面积（mm</t>
    </r>
    <r>
      <rPr>
        <vertAlign val="superscript"/>
        <sz val="10"/>
        <color theme="1"/>
        <rFont val="宋体"/>
        <family val="3"/>
        <charset val="134"/>
        <scheme val="minor"/>
      </rPr>
      <t>2</t>
    </r>
    <r>
      <rPr>
        <sz val="10"/>
        <color theme="1"/>
        <rFont val="宋体"/>
        <family val="2"/>
        <charset val="134"/>
        <scheme val="minor"/>
      </rPr>
      <t>）</t>
    </r>
    <phoneticPr fontId="1" type="noConversion"/>
  </si>
  <si>
    <t>低压二级配电</t>
    <phoneticPr fontId="1" type="noConversion"/>
  </si>
  <si>
    <t>截面（mm2）</t>
    <phoneticPr fontId="1" type="noConversion"/>
  </si>
  <si>
    <r>
      <t>r</t>
    </r>
    <r>
      <rPr>
        <vertAlign val="subscript"/>
        <sz val="11"/>
        <color theme="1"/>
        <rFont val="宋体"/>
        <family val="3"/>
        <charset val="134"/>
        <scheme val="minor"/>
      </rPr>
      <t>0</t>
    </r>
    <phoneticPr fontId="1" type="noConversion"/>
  </si>
  <si>
    <r>
      <t>r</t>
    </r>
    <r>
      <rPr>
        <vertAlign val="subscript"/>
        <sz val="11"/>
        <color theme="1"/>
        <rFont val="宋体"/>
        <family val="3"/>
        <charset val="134"/>
        <scheme val="minor"/>
      </rPr>
      <t>φ</t>
    </r>
    <r>
      <rPr>
        <vertAlign val="subscript"/>
        <sz val="11"/>
        <color theme="1"/>
        <rFont val="宋体"/>
        <family val="2"/>
        <charset val="134"/>
        <scheme val="minor"/>
      </rPr>
      <t>p</t>
    </r>
    <phoneticPr fontId="1" type="noConversion"/>
  </si>
  <si>
    <r>
      <t>r</t>
    </r>
    <r>
      <rPr>
        <vertAlign val="subscript"/>
        <sz val="11"/>
        <color theme="1"/>
        <rFont val="宋体"/>
        <family val="2"/>
        <charset val="134"/>
        <scheme val="minor"/>
      </rPr>
      <t>pp</t>
    </r>
    <phoneticPr fontId="1" type="noConversion"/>
  </si>
  <si>
    <r>
      <rPr>
        <sz val="11"/>
        <color theme="1"/>
        <rFont val="宋体"/>
        <family val="3"/>
        <charset val="134"/>
        <scheme val="minor"/>
      </rPr>
      <t>x</t>
    </r>
    <r>
      <rPr>
        <vertAlign val="subscript"/>
        <sz val="11"/>
        <color theme="1"/>
        <rFont val="宋体"/>
        <family val="3"/>
        <charset val="134"/>
        <scheme val="minor"/>
      </rPr>
      <t>0</t>
    </r>
    <phoneticPr fontId="1" type="noConversion"/>
  </si>
  <si>
    <r>
      <t>x</t>
    </r>
    <r>
      <rPr>
        <vertAlign val="subscript"/>
        <sz val="11"/>
        <color theme="1"/>
        <rFont val="宋体"/>
        <family val="3"/>
        <charset val="134"/>
        <scheme val="minor"/>
      </rPr>
      <t>φ</t>
    </r>
    <r>
      <rPr>
        <vertAlign val="subscript"/>
        <sz val="11"/>
        <color theme="1"/>
        <rFont val="宋体"/>
        <family val="2"/>
        <charset val="134"/>
        <scheme val="minor"/>
      </rPr>
      <t>p</t>
    </r>
    <phoneticPr fontId="1" type="noConversion"/>
  </si>
  <si>
    <r>
      <t>x</t>
    </r>
    <r>
      <rPr>
        <vertAlign val="subscript"/>
        <sz val="11"/>
        <color theme="1"/>
        <rFont val="宋体"/>
        <family val="2"/>
        <charset val="134"/>
        <scheme val="minor"/>
      </rPr>
      <t>pp</t>
    </r>
    <phoneticPr fontId="1" type="noConversion"/>
  </si>
  <si>
    <t>钢导线钢管布线每米阻抗表(mΩ/m)</t>
    <phoneticPr fontId="1" type="noConversion"/>
  </si>
  <si>
    <t>铜导线钢管布线</t>
    <phoneticPr fontId="1" type="noConversion"/>
  </si>
  <si>
    <r>
      <t>,</t>
    </r>
    <r>
      <rPr>
        <sz val="11"/>
        <color theme="1"/>
        <rFont val="宋体"/>
        <family val="2"/>
        <charset val="134"/>
        <scheme val="minor"/>
      </rPr>
      <t>=INDEX(铜导线钢管布线!B3:G16,MATCH(K20,截面,0),1)</t>
    </r>
    <phoneticPr fontId="1" type="noConversion"/>
  </si>
  <si>
    <t>短路电流计算</t>
    <phoneticPr fontId="1" type="noConversion"/>
  </si>
  <si>
    <t>输电线路末端（K1）</t>
    <phoneticPr fontId="1" type="noConversion"/>
  </si>
  <si>
    <t>系统容量（MVA）</t>
    <phoneticPr fontId="1" type="noConversion"/>
  </si>
  <si>
    <t>35kv</t>
    <phoneticPr fontId="1" type="noConversion"/>
  </si>
  <si>
    <t>铜芯交联聚乙烯电缆</t>
    <phoneticPr fontId="1" type="noConversion"/>
  </si>
  <si>
    <t>6 kv</t>
    <phoneticPr fontId="1" type="noConversion"/>
  </si>
  <si>
    <t>10kv</t>
    <phoneticPr fontId="1" type="noConversion"/>
  </si>
  <si>
    <t>电抗值(Ω)</t>
    <phoneticPr fontId="1" type="noConversion"/>
  </si>
  <si>
    <t>冲击电流系数</t>
    <phoneticPr fontId="1" type="noConversion"/>
  </si>
  <si>
    <t>三相短路电流有效值(KA)</t>
    <phoneticPr fontId="1" type="noConversion"/>
  </si>
  <si>
    <t>三相短路电流峰值(KA)</t>
    <phoneticPr fontId="1" type="noConversion"/>
  </si>
  <si>
    <r>
      <t>R</t>
    </r>
    <r>
      <rPr>
        <vertAlign val="subscript"/>
        <sz val="10"/>
        <color theme="1"/>
        <rFont val="宋体"/>
        <family val="3"/>
        <charset val="134"/>
        <scheme val="minor"/>
      </rPr>
      <t>k</t>
    </r>
    <r>
      <rPr>
        <sz val="10"/>
        <color theme="1"/>
        <rFont val="宋体"/>
        <family val="3"/>
        <charset val="134"/>
        <scheme val="minor"/>
      </rPr>
      <t>（Ω）</t>
    </r>
    <phoneticPr fontId="1" type="noConversion"/>
  </si>
  <si>
    <r>
      <t>X</t>
    </r>
    <r>
      <rPr>
        <vertAlign val="subscript"/>
        <sz val="10"/>
        <color theme="1"/>
        <rFont val="宋体"/>
        <family val="3"/>
        <charset val="134"/>
        <scheme val="minor"/>
      </rPr>
      <t>k</t>
    </r>
    <r>
      <rPr>
        <sz val="10"/>
        <color theme="1"/>
        <rFont val="宋体"/>
        <family val="3"/>
        <charset val="134"/>
        <scheme val="minor"/>
      </rPr>
      <t>（Ω）</t>
    </r>
    <phoneticPr fontId="1" type="noConversion"/>
  </si>
  <si>
    <r>
      <t>R</t>
    </r>
    <r>
      <rPr>
        <vertAlign val="subscript"/>
        <sz val="10"/>
        <color theme="1"/>
        <rFont val="宋体"/>
        <family val="3"/>
        <charset val="134"/>
        <scheme val="minor"/>
      </rPr>
      <t>φP</t>
    </r>
    <r>
      <rPr>
        <sz val="10"/>
        <color theme="1"/>
        <rFont val="宋体"/>
        <family val="3"/>
        <charset val="134"/>
        <scheme val="minor"/>
      </rPr>
      <t>（Ω）</t>
    </r>
    <phoneticPr fontId="1" type="noConversion"/>
  </si>
  <si>
    <r>
      <t>X</t>
    </r>
    <r>
      <rPr>
        <vertAlign val="subscript"/>
        <sz val="10"/>
        <color theme="1"/>
        <rFont val="宋体"/>
        <family val="3"/>
        <charset val="134"/>
        <scheme val="minor"/>
      </rPr>
      <t>φP</t>
    </r>
    <r>
      <rPr>
        <sz val="10"/>
        <color theme="1"/>
        <rFont val="宋体"/>
        <family val="3"/>
        <charset val="134"/>
        <scheme val="minor"/>
      </rPr>
      <t>（Ω）</t>
    </r>
    <phoneticPr fontId="1" type="noConversion"/>
  </si>
  <si>
    <r>
      <t>r</t>
    </r>
    <r>
      <rPr>
        <vertAlign val="subscript"/>
        <sz val="10"/>
        <color theme="1"/>
        <rFont val="宋体"/>
        <family val="3"/>
        <charset val="134"/>
        <scheme val="minor"/>
      </rPr>
      <t>*</t>
    </r>
    <r>
      <rPr>
        <sz val="10"/>
        <color theme="1"/>
        <rFont val="宋体"/>
        <family val="3"/>
        <charset val="134"/>
        <scheme val="minor"/>
      </rPr>
      <t>(Ω/km)</t>
    </r>
    <phoneticPr fontId="1" type="noConversion"/>
  </si>
  <si>
    <r>
      <t>x</t>
    </r>
    <r>
      <rPr>
        <vertAlign val="subscript"/>
        <sz val="10"/>
        <color theme="1"/>
        <rFont val="宋体"/>
        <family val="3"/>
        <charset val="134"/>
        <scheme val="minor"/>
      </rPr>
      <t>*</t>
    </r>
    <r>
      <rPr>
        <sz val="10"/>
        <color theme="1"/>
        <rFont val="宋体"/>
        <family val="3"/>
        <charset val="134"/>
        <scheme val="minor"/>
      </rPr>
      <t>(Ω/km)</t>
    </r>
    <phoneticPr fontId="1" type="noConversion"/>
  </si>
  <si>
    <r>
      <t>R</t>
    </r>
    <r>
      <rPr>
        <vertAlign val="subscript"/>
        <sz val="10"/>
        <color theme="1"/>
        <rFont val="宋体"/>
        <family val="3"/>
        <charset val="134"/>
        <scheme val="minor"/>
      </rPr>
      <t>*</t>
    </r>
    <r>
      <rPr>
        <sz val="10"/>
        <color theme="1"/>
        <rFont val="宋体"/>
        <family val="3"/>
        <charset val="134"/>
        <scheme val="minor"/>
      </rPr>
      <t>(Ω)</t>
    </r>
    <phoneticPr fontId="1" type="noConversion"/>
  </si>
  <si>
    <r>
      <t>X</t>
    </r>
    <r>
      <rPr>
        <vertAlign val="subscript"/>
        <sz val="10"/>
        <color theme="1"/>
        <rFont val="宋体"/>
        <family val="3"/>
        <charset val="134"/>
        <scheme val="minor"/>
      </rPr>
      <t>*</t>
    </r>
    <r>
      <rPr>
        <sz val="10"/>
        <color theme="1"/>
        <rFont val="宋体"/>
        <family val="3"/>
        <charset val="134"/>
        <scheme val="minor"/>
      </rPr>
      <t>(Ω)</t>
    </r>
    <phoneticPr fontId="1" type="noConversion"/>
  </si>
  <si>
    <t>高压侧短路阻抗（MVA）</t>
    <phoneticPr fontId="1" type="noConversion"/>
  </si>
  <si>
    <r>
      <t>Z</t>
    </r>
    <r>
      <rPr>
        <vertAlign val="subscript"/>
        <sz val="14"/>
        <color theme="1"/>
        <rFont val="宋体"/>
        <family val="3"/>
        <charset val="134"/>
        <scheme val="minor"/>
      </rPr>
      <t>S</t>
    </r>
    <phoneticPr fontId="1" type="noConversion"/>
  </si>
  <si>
    <r>
      <t>R</t>
    </r>
    <r>
      <rPr>
        <vertAlign val="subscript"/>
        <sz val="14"/>
        <color theme="1"/>
        <rFont val="宋体"/>
        <family val="3"/>
        <charset val="134"/>
        <scheme val="minor"/>
      </rPr>
      <t>S</t>
    </r>
    <phoneticPr fontId="1" type="noConversion"/>
  </si>
  <si>
    <r>
      <t>X</t>
    </r>
    <r>
      <rPr>
        <vertAlign val="subscript"/>
        <sz val="14"/>
        <color theme="1"/>
        <rFont val="宋体"/>
        <family val="3"/>
        <charset val="134"/>
        <scheme val="minor"/>
      </rPr>
      <t>S</t>
    </r>
    <phoneticPr fontId="1" type="noConversion"/>
  </si>
  <si>
    <r>
      <t>R</t>
    </r>
    <r>
      <rPr>
        <vertAlign val="subscript"/>
        <sz val="14"/>
        <color theme="1"/>
        <rFont val="宋体"/>
        <family val="3"/>
        <charset val="134"/>
        <scheme val="minor"/>
      </rPr>
      <t>Φp</t>
    </r>
    <phoneticPr fontId="1" type="noConversion"/>
  </si>
  <si>
    <r>
      <t>X</t>
    </r>
    <r>
      <rPr>
        <vertAlign val="subscript"/>
        <sz val="14"/>
        <color theme="1"/>
        <rFont val="宋体"/>
        <family val="3"/>
        <charset val="134"/>
        <scheme val="minor"/>
      </rPr>
      <t>Φp</t>
    </r>
    <phoneticPr fontId="1" type="noConversion"/>
  </si>
  <si>
    <t>0.4kv电力系统短路阻抗（mΩ）</t>
    <phoneticPr fontId="1" type="noConversion"/>
  </si>
  <si>
    <t>变压器高压侧短路容量（MVA）</t>
    <phoneticPr fontId="1" type="noConversion"/>
  </si>
  <si>
    <r>
      <t>R</t>
    </r>
    <r>
      <rPr>
        <vertAlign val="subscript"/>
        <sz val="10"/>
        <color theme="1"/>
        <rFont val="宋体"/>
        <family val="3"/>
        <charset val="134"/>
        <scheme val="minor"/>
      </rPr>
      <t>0</t>
    </r>
    <r>
      <rPr>
        <sz val="10"/>
        <color theme="1"/>
        <rFont val="宋体"/>
        <family val="3"/>
        <charset val="134"/>
        <scheme val="minor"/>
      </rPr>
      <t>(mΩ)</t>
    </r>
    <phoneticPr fontId="1" type="noConversion"/>
  </si>
  <si>
    <r>
      <t>R</t>
    </r>
    <r>
      <rPr>
        <vertAlign val="subscript"/>
        <sz val="10"/>
        <color theme="1"/>
        <rFont val="宋体"/>
        <family val="3"/>
        <charset val="134"/>
        <scheme val="minor"/>
      </rPr>
      <t>T</t>
    </r>
    <r>
      <rPr>
        <sz val="10"/>
        <color theme="1"/>
        <rFont val="宋体"/>
        <family val="3"/>
        <charset val="134"/>
        <scheme val="minor"/>
      </rPr>
      <t>(R</t>
    </r>
    <r>
      <rPr>
        <vertAlign val="subscript"/>
        <sz val="10"/>
        <color theme="1"/>
        <rFont val="宋体"/>
        <family val="3"/>
        <charset val="134"/>
        <scheme val="minor"/>
      </rPr>
      <t>p</t>
    </r>
    <r>
      <rPr>
        <sz val="10"/>
        <color theme="1"/>
        <rFont val="宋体"/>
        <family val="3"/>
        <charset val="134"/>
        <scheme val="minor"/>
      </rPr>
      <t>)(mΩ)</t>
    </r>
    <phoneticPr fontId="1" type="noConversion"/>
  </si>
  <si>
    <r>
      <t>X</t>
    </r>
    <r>
      <rPr>
        <vertAlign val="subscript"/>
        <sz val="10"/>
        <color theme="1"/>
        <rFont val="宋体"/>
        <family val="3"/>
        <charset val="134"/>
        <scheme val="minor"/>
      </rPr>
      <t>T</t>
    </r>
    <r>
      <rPr>
        <sz val="10"/>
        <color theme="1"/>
        <rFont val="宋体"/>
        <family val="3"/>
        <charset val="134"/>
        <scheme val="minor"/>
      </rPr>
      <t>(X</t>
    </r>
    <r>
      <rPr>
        <vertAlign val="subscript"/>
        <sz val="10"/>
        <color theme="1"/>
        <rFont val="宋体"/>
        <family val="3"/>
        <charset val="134"/>
        <scheme val="minor"/>
      </rPr>
      <t>p</t>
    </r>
    <r>
      <rPr>
        <sz val="10"/>
        <color theme="1"/>
        <rFont val="宋体"/>
        <family val="3"/>
        <charset val="134"/>
        <scheme val="minor"/>
      </rPr>
      <t>)(mΩ)</t>
    </r>
    <phoneticPr fontId="1" type="noConversion"/>
  </si>
  <si>
    <t>阻抗比</t>
    <phoneticPr fontId="1" type="noConversion"/>
  </si>
  <si>
    <t>单相短路电流(kA)</t>
    <phoneticPr fontId="1" type="noConversion"/>
  </si>
  <si>
    <t>10kv</t>
  </si>
  <si>
    <t>铝芯交联聚乙烯电缆</t>
  </si>
  <si>
    <t>铜芯交联聚乙烯电缆热稳定允许短路电流表（KA）</t>
    <phoneticPr fontId="1" type="noConversion"/>
  </si>
  <si>
    <t>短路电流持续时间</t>
    <phoneticPr fontId="1" type="noConversion"/>
  </si>
  <si>
    <t>电缆截面（mm2）</t>
    <phoneticPr fontId="1" type="noConversion"/>
  </si>
  <si>
    <t>铜芯聚氯乙烯电缆热稳定允许短路电流表（KA）</t>
    <phoneticPr fontId="1" type="noConversion"/>
  </si>
  <si>
    <t>铝芯交联聚乙烯电缆热稳定允许短路电流表（KA）</t>
    <phoneticPr fontId="1" type="noConversion"/>
  </si>
  <si>
    <t>交联聚乙烯电缆(铜芯)</t>
    <phoneticPr fontId="1" type="noConversion"/>
  </si>
  <si>
    <t>聚氯乙烯电缆(铜芯)</t>
    <phoneticPr fontId="1" type="noConversion"/>
  </si>
  <si>
    <t>交联聚乙烯电缆(铝芯)</t>
    <phoneticPr fontId="1" type="noConversion"/>
  </si>
  <si>
    <t>聚氯乙烯电缆(铝芯)</t>
    <phoneticPr fontId="1" type="noConversion"/>
  </si>
  <si>
    <t>铜芯PVC电线</t>
  </si>
  <si>
    <t>铝芯聚氯乙烯电缆热稳定允许短路电流表（KA）</t>
    <phoneticPr fontId="1" type="noConversion"/>
  </si>
  <si>
    <t>0.1s</t>
    <phoneticPr fontId="1" type="noConversion"/>
  </si>
  <si>
    <t>0.2s</t>
    <phoneticPr fontId="1" type="noConversion"/>
  </si>
  <si>
    <t>0.4s</t>
    <phoneticPr fontId="1" type="noConversion"/>
  </si>
  <si>
    <t>0.6s</t>
    <phoneticPr fontId="1" type="noConversion"/>
  </si>
  <si>
    <t>铜芯PVC电线热稳定允许短路电流表（KA）</t>
    <phoneticPr fontId="1" type="noConversion"/>
  </si>
  <si>
    <t>低压配电线路末端（K4）</t>
    <phoneticPr fontId="1" type="noConversion"/>
  </si>
  <si>
    <t>低压二级配电线路末端（K5）</t>
    <phoneticPr fontId="1" type="noConversion"/>
  </si>
  <si>
    <t>配电母线（K3）</t>
    <phoneticPr fontId="1" type="noConversion"/>
  </si>
  <si>
    <t>短路电流计算及热稳定校验</t>
    <phoneticPr fontId="1" type="noConversion"/>
  </si>
  <si>
    <t>回路编号</t>
    <phoneticPr fontId="1" type="noConversion"/>
  </si>
  <si>
    <t>规格（mm）</t>
    <phoneticPr fontId="1" type="noConversion"/>
  </si>
  <si>
    <t>相间距离(mm)</t>
    <phoneticPr fontId="1" type="noConversion"/>
  </si>
  <si>
    <t>低压一级配电L1</t>
    <phoneticPr fontId="1" type="noConversion"/>
  </si>
  <si>
    <t>额定电流（A）</t>
    <phoneticPr fontId="1" type="noConversion"/>
  </si>
  <si>
    <r>
      <t>截面积（mm</t>
    </r>
    <r>
      <rPr>
        <vertAlign val="superscript"/>
        <sz val="10"/>
        <color theme="1"/>
        <rFont val="宋体"/>
        <family val="3"/>
        <charset val="134"/>
        <scheme val="minor"/>
      </rPr>
      <t>2</t>
    </r>
    <r>
      <rPr>
        <sz val="10"/>
        <color theme="1"/>
        <rFont val="宋体"/>
        <family val="2"/>
        <charset val="134"/>
        <scheme val="minor"/>
      </rPr>
      <t>）</t>
    </r>
    <phoneticPr fontId="1" type="noConversion"/>
  </si>
  <si>
    <t>低压二级配电L2</t>
    <phoneticPr fontId="1" type="noConversion"/>
  </si>
  <si>
    <t>一、短路电流计算</t>
    <phoneticPr fontId="1" type="noConversion"/>
  </si>
  <si>
    <t>短路位置</t>
    <phoneticPr fontId="1" type="noConversion"/>
  </si>
  <si>
    <t>三相短路电流有效值(KA)</t>
    <phoneticPr fontId="1" type="noConversion"/>
  </si>
  <si>
    <t>单相短路电流(kA)</t>
    <phoneticPr fontId="1" type="noConversion"/>
  </si>
  <si>
    <t>变压器出口（K1）</t>
    <phoneticPr fontId="1" type="noConversion"/>
  </si>
  <si>
    <t>配电母线（K2）</t>
    <phoneticPr fontId="1" type="noConversion"/>
  </si>
  <si>
    <t>低压配电线路末端（K3）</t>
    <phoneticPr fontId="1" type="noConversion"/>
  </si>
  <si>
    <t>低压二级配电线路末端（K4）</t>
    <phoneticPr fontId="1" type="noConversion"/>
  </si>
  <si>
    <t>二、热稳定校验</t>
    <phoneticPr fontId="1" type="noConversion"/>
  </si>
  <si>
    <t>电缆线路位置</t>
    <phoneticPr fontId="1" type="noConversion"/>
  </si>
  <si>
    <t>需要截面</t>
    <phoneticPr fontId="1" type="noConversion"/>
  </si>
  <si>
    <t>一级配电线路L1</t>
    <phoneticPr fontId="1" type="noConversion"/>
  </si>
  <si>
    <t>二级配电线路L2</t>
    <phoneticPr fontId="1" type="noConversion"/>
  </si>
  <si>
    <t>校验结果</t>
    <phoneticPr fontId="1" type="noConversion"/>
  </si>
  <si>
    <t>变压器出口（K2）</t>
    <phoneticPr fontId="1" type="noConversion"/>
  </si>
  <si>
    <t>线路类型</t>
    <phoneticPr fontId="1" type="noConversion"/>
  </si>
  <si>
    <t>短路时间</t>
    <phoneticPr fontId="1" type="noConversion"/>
  </si>
  <si>
    <t>‘=OFFSET(变压器阻抗表!J17,MATCH(短路电流计算及热稳定校验!B4,变压器容量,0),1,,COUNTA(OFFSET(变压器阻抗表!K17:M17,MATCH(短路电流计算及热稳定校验!B4,变压器容量,0),)))</t>
    <phoneticPr fontId="1" type="noConversion"/>
  </si>
  <si>
    <t>1、本表格的所有基础数据（包括设备、线路阻抗及线路承受热稳定能力）及计算方法均来源《配变电系统短路电流计算适用手册》；</t>
    <phoneticPr fontId="1" type="noConversion"/>
  </si>
  <si>
    <t>2、由于编者水平有限及资料缺乏，难免有错误及不准确之处，本表格仅为试用版，在使用过程中发现不足、错误之处请及时与编者联系。</t>
    <phoneticPr fontId="1" type="noConversion"/>
  </si>
  <si>
    <t>一、编制说明</t>
    <phoneticPr fontId="1" type="noConversion"/>
  </si>
  <si>
    <t>二、使用说明</t>
    <phoneticPr fontId="1" type="noConversion"/>
  </si>
  <si>
    <t>1、表格中红色单元格为下拉菜单，绿色为使用者任意填写部分，当有单元格出现紫色时，表格有可能是使用者输入错误或热稳定校验不合格。</t>
    <phoneticPr fontId="1" type="noConversion"/>
  </si>
  <si>
    <t>0.1s</t>
  </si>
  <si>
    <t>低压配电母线（铜）</t>
  </si>
  <si>
    <t>4拼交联聚氯乙烯电缆（铜芯）</t>
  </si>
  <si>
    <t>交联聚乙烯电力电缆（铜芯）</t>
  </si>
  <si>
    <t>S=800 KVA</t>
  </si>
  <si>
    <t>U%=6</t>
  </si>
  <si>
    <t>100X10(80X8)</t>
  </si>
</sst>
</file>

<file path=xl/styles.xml><?xml version="1.0" encoding="utf-8"?>
<styleSheet xmlns="http://schemas.openxmlformats.org/spreadsheetml/2006/main">
  <numFmts count="1">
    <numFmt numFmtId="176" formatCode="0.00000_ "/>
  </numFmts>
  <fonts count="19">
    <font>
      <sz val="11"/>
      <color theme="1"/>
      <name val="宋体"/>
      <family val="2"/>
      <charset val="134"/>
      <scheme val="minor"/>
    </font>
    <font>
      <sz val="9"/>
      <name val="宋体"/>
      <family val="2"/>
      <charset val="134"/>
      <scheme val="minor"/>
    </font>
    <font>
      <sz val="12"/>
      <color theme="1"/>
      <name val="宋体"/>
      <family val="2"/>
      <charset val="134"/>
      <scheme val="minor"/>
    </font>
    <font>
      <sz val="18"/>
      <color theme="1"/>
      <name val="宋体"/>
      <family val="2"/>
      <charset val="134"/>
      <scheme val="minor"/>
    </font>
    <font>
      <sz val="14"/>
      <color theme="1"/>
      <name val="宋体"/>
      <family val="2"/>
      <charset val="134"/>
      <scheme val="minor"/>
    </font>
    <font>
      <vertAlign val="superscript"/>
      <sz val="14"/>
      <color theme="1"/>
      <name val="宋体"/>
      <family val="3"/>
      <charset val="134"/>
      <scheme val="minor"/>
    </font>
    <font>
      <vertAlign val="subscript"/>
      <sz val="14"/>
      <color theme="1"/>
      <name val="宋体"/>
      <family val="3"/>
      <charset val="134"/>
      <scheme val="minor"/>
    </font>
    <font>
      <vertAlign val="subscript"/>
      <sz val="14"/>
      <color theme="1"/>
      <name val="宋体"/>
      <family val="2"/>
      <charset val="134"/>
      <scheme val="minor"/>
    </font>
    <font>
      <sz val="14"/>
      <color theme="1"/>
      <name val="宋体"/>
      <family val="3"/>
      <charset val="134"/>
      <scheme val="minor"/>
    </font>
    <font>
      <sz val="11"/>
      <color theme="1"/>
      <name val="宋体"/>
      <family val="3"/>
      <charset val="134"/>
      <scheme val="minor"/>
    </font>
    <font>
      <sz val="10"/>
      <color theme="1"/>
      <name val="宋体"/>
      <family val="2"/>
      <charset val="134"/>
      <scheme val="minor"/>
    </font>
    <font>
      <sz val="10"/>
      <color theme="1"/>
      <name val="宋体"/>
      <family val="3"/>
      <charset val="134"/>
      <scheme val="minor"/>
    </font>
    <font>
      <vertAlign val="subscript"/>
      <sz val="10"/>
      <color theme="1"/>
      <name val="宋体"/>
      <family val="3"/>
      <charset val="134"/>
      <scheme val="minor"/>
    </font>
    <font>
      <vertAlign val="subscript"/>
      <sz val="10"/>
      <color theme="1"/>
      <name val="宋体"/>
      <family val="2"/>
      <charset val="134"/>
      <scheme val="minor"/>
    </font>
    <font>
      <sz val="1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vertAlign val="superscript"/>
      <sz val="10"/>
      <color theme="1"/>
      <name val="宋体"/>
      <family val="3"/>
      <charset val="134"/>
      <scheme val="minor"/>
    </font>
    <font>
      <vertAlign val="subscript"/>
      <sz val="11"/>
      <color theme="1"/>
      <name val="宋体"/>
      <family val="3"/>
      <charset val="134"/>
      <scheme val="minor"/>
    </font>
    <font>
      <vertAlign val="subscript"/>
      <sz val="11"/>
      <color theme="1"/>
      <name val="宋体"/>
      <family val="2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rgb="FFFF00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C00000"/>
        <bgColor indexed="64"/>
      </patternFill>
    </fill>
    <fill>
      <patternFill patternType="solid">
        <fgColor rgb="FF00B050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>
      <alignment vertical="center"/>
    </xf>
  </cellStyleXfs>
  <cellXfs count="81">
    <xf numFmtId="0" fontId="0" fillId="0" borderId="0" xfId="0">
      <alignment vertical="center"/>
    </xf>
    <xf numFmtId="0" fontId="2" fillId="0" borderId="0" xfId="0" applyFont="1">
      <alignment vertical="center"/>
    </xf>
    <xf numFmtId="0" fontId="4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176" fontId="4" fillId="0" borderId="1" xfId="0" applyNumberFormat="1" applyFont="1" applyBorder="1" applyAlignment="1">
      <alignment horizontal="center" vertical="center"/>
    </xf>
    <xf numFmtId="0" fontId="4" fillId="0" borderId="2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>
      <alignment vertical="center"/>
    </xf>
    <xf numFmtId="0" fontId="0" fillId="0" borderId="1" xfId="0" applyBorder="1" applyAlignment="1">
      <alignment horizontal="center" vertical="center"/>
    </xf>
    <xf numFmtId="0" fontId="4" fillId="0" borderId="1" xfId="0" applyFont="1" applyBorder="1">
      <alignment vertical="center"/>
    </xf>
    <xf numFmtId="0" fontId="8" fillId="0" borderId="0" xfId="0" applyFont="1">
      <alignment vertical="center"/>
    </xf>
    <xf numFmtId="0" fontId="8" fillId="0" borderId="0" xfId="0" applyFont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/>
    </xf>
    <xf numFmtId="0" fontId="4" fillId="2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9" fillId="0" borderId="0" xfId="0" quotePrefix="1" applyFont="1">
      <alignment vertical="center"/>
    </xf>
    <xf numFmtId="0" fontId="0" fillId="0" borderId="0" xfId="0" quotePrefix="1">
      <alignment vertical="center"/>
    </xf>
    <xf numFmtId="0" fontId="0" fillId="0" borderId="0" xfId="0" applyAlignment="1">
      <alignment horizontal="center" vertical="center"/>
    </xf>
    <xf numFmtId="0" fontId="10" fillId="0" borderId="0" xfId="0" applyFont="1">
      <alignment vertical="center"/>
    </xf>
    <xf numFmtId="0" fontId="10" fillId="0" borderId="0" xfId="0" applyFont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8" fillId="0" borderId="1" xfId="0" applyFont="1" applyBorder="1">
      <alignment vertical="center"/>
    </xf>
    <xf numFmtId="0" fontId="14" fillId="0" borderId="0" xfId="0" applyFont="1" applyAlignment="1">
      <alignment horizontal="center" vertical="center"/>
    </xf>
    <xf numFmtId="0" fontId="15" fillId="0" borderId="0" xfId="0" applyFont="1">
      <alignment vertical="center"/>
    </xf>
    <xf numFmtId="0" fontId="0" fillId="0" borderId="0" xfId="0" applyFont="1">
      <alignment vertical="center"/>
    </xf>
    <xf numFmtId="0" fontId="9" fillId="0" borderId="1" xfId="0" applyFont="1" applyBorder="1" applyAlignment="1">
      <alignment horizontal="center" vertical="center"/>
    </xf>
    <xf numFmtId="0" fontId="9" fillId="0" borderId="0" xfId="0" applyFont="1">
      <alignment vertical="center"/>
    </xf>
    <xf numFmtId="11" fontId="0" fillId="0" borderId="0" xfId="0" applyNumberFormat="1">
      <alignment vertical="center"/>
    </xf>
    <xf numFmtId="0" fontId="10" fillId="0" borderId="0" xfId="0" quotePrefix="1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0" fillId="0" borderId="0" xfId="0" applyFont="1" applyAlignment="1">
      <alignment horizontal="center" vertical="center"/>
    </xf>
    <xf numFmtId="11" fontId="0" fillId="0" borderId="1" xfId="0" applyNumberFormat="1" applyBorder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0" fontId="11" fillId="3" borderId="0" xfId="0" applyFont="1" applyFill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0" fillId="2" borderId="0" xfId="0" applyFill="1" applyAlignment="1">
      <alignment horizontal="left" vertical="center"/>
    </xf>
    <xf numFmtId="0" fontId="10" fillId="2" borderId="0" xfId="0" applyFont="1" applyFill="1" applyAlignment="1">
      <alignment horizontal="left" vertical="center" wrapText="1"/>
    </xf>
    <xf numFmtId="0" fontId="10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4" borderId="0" xfId="0" applyFill="1">
      <alignment vertical="center"/>
    </xf>
    <xf numFmtId="0" fontId="9" fillId="5" borderId="0" xfId="0" applyFont="1" applyFill="1">
      <alignment vertical="center"/>
    </xf>
    <xf numFmtId="0" fontId="0" fillId="5" borderId="0" xfId="0" applyFill="1">
      <alignment vertical="center"/>
    </xf>
    <xf numFmtId="0" fontId="10" fillId="0" borderId="0" xfId="0" applyFont="1" applyAlignment="1">
      <alignment horizontal="center" vertical="center"/>
    </xf>
    <xf numFmtId="0" fontId="0" fillId="2" borderId="0" xfId="0" applyFill="1">
      <alignment vertical="center"/>
    </xf>
    <xf numFmtId="0" fontId="10" fillId="6" borderId="0" xfId="0" applyFont="1" applyFill="1">
      <alignment vertical="center"/>
    </xf>
    <xf numFmtId="0" fontId="4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0" fillId="5" borderId="0" xfId="0" applyFill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horizontal="center" vertical="center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>
      <alignment vertical="center"/>
    </xf>
    <xf numFmtId="0" fontId="0" fillId="0" borderId="0" xfId="0" applyAlignment="1" applyProtection="1">
      <alignment vertical="center"/>
      <protection locked="0"/>
    </xf>
    <xf numFmtId="0" fontId="10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horizontal="center" vertical="center" wrapText="1"/>
    </xf>
    <xf numFmtId="0" fontId="8" fillId="0" borderId="6" xfId="0" applyFont="1" applyBorder="1" applyAlignment="1">
      <alignment horizontal="center" vertical="center" wrapText="1"/>
    </xf>
    <xf numFmtId="0" fontId="8" fillId="0" borderId="7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4" fillId="0" borderId="5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常规" xfId="0" builtinId="0"/>
  </cellStyles>
  <dxfs count="5">
    <dxf>
      <font>
        <b/>
        <i/>
      </font>
      <fill>
        <patternFill>
          <bgColor rgb="FF7030A0"/>
        </patternFill>
      </fill>
    </dxf>
    <dxf>
      <font>
        <b/>
        <i/>
      </font>
      <fill>
        <patternFill>
          <bgColor rgb="FF7030A0"/>
        </patternFill>
      </fill>
    </dxf>
    <dxf>
      <font>
        <b/>
        <i/>
      </font>
      <fill>
        <patternFill>
          <bgColor rgb="FF7030A0"/>
        </patternFill>
      </fill>
    </dxf>
    <dxf>
      <font>
        <b/>
        <i/>
      </font>
      <fill>
        <patternFill>
          <bgColor rgb="FF7030A0"/>
        </patternFill>
      </fill>
    </dxf>
    <dxf>
      <font>
        <b/>
        <i/>
      </font>
      <fill>
        <patternFill patternType="solid">
          <bgColor rgb="FF7030A0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9</xdr:col>
      <xdr:colOff>438150</xdr:colOff>
      <xdr:row>5</xdr:row>
      <xdr:rowOff>104775</xdr:rowOff>
    </xdr:from>
    <xdr:ext cx="184731" cy="264560"/>
    <xdr:sp macro="" textlink="">
      <xdr:nvSpPr>
        <xdr:cNvPr id="2" name="TextBox 1"/>
        <xdr:cNvSpPr txBox="1"/>
      </xdr:nvSpPr>
      <xdr:spPr>
        <a:xfrm>
          <a:off x="5238750" y="61912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438150</xdr:colOff>
      <xdr:row>5</xdr:row>
      <xdr:rowOff>104775</xdr:rowOff>
    </xdr:from>
    <xdr:ext cx="184731" cy="264560"/>
    <xdr:sp macro="" textlink="">
      <xdr:nvSpPr>
        <xdr:cNvPr id="3" name="TextBox 2"/>
        <xdr:cNvSpPr txBox="1"/>
      </xdr:nvSpPr>
      <xdr:spPr>
        <a:xfrm>
          <a:off x="7191375" y="8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11</xdr:col>
      <xdr:colOff>438150</xdr:colOff>
      <xdr:row>5</xdr:row>
      <xdr:rowOff>104775</xdr:rowOff>
    </xdr:from>
    <xdr:ext cx="184731" cy="264560"/>
    <xdr:sp macro="" textlink="">
      <xdr:nvSpPr>
        <xdr:cNvPr id="4" name="TextBox 3"/>
        <xdr:cNvSpPr txBox="1"/>
      </xdr:nvSpPr>
      <xdr:spPr>
        <a:xfrm>
          <a:off x="7191375" y="8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438150</xdr:colOff>
      <xdr:row>5</xdr:row>
      <xdr:rowOff>104775</xdr:rowOff>
    </xdr:from>
    <xdr:ext cx="184731" cy="264560"/>
    <xdr:sp macro="" textlink="">
      <xdr:nvSpPr>
        <xdr:cNvPr id="5" name="TextBox 4"/>
        <xdr:cNvSpPr txBox="1"/>
      </xdr:nvSpPr>
      <xdr:spPr>
        <a:xfrm>
          <a:off x="7191375" y="8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438150</xdr:colOff>
      <xdr:row>5</xdr:row>
      <xdr:rowOff>104775</xdr:rowOff>
    </xdr:from>
    <xdr:ext cx="184731" cy="264560"/>
    <xdr:sp macro="" textlink="">
      <xdr:nvSpPr>
        <xdr:cNvPr id="6" name="TextBox 5"/>
        <xdr:cNvSpPr txBox="1"/>
      </xdr:nvSpPr>
      <xdr:spPr>
        <a:xfrm>
          <a:off x="7191375" y="8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438150</xdr:colOff>
      <xdr:row>5</xdr:row>
      <xdr:rowOff>104775</xdr:rowOff>
    </xdr:from>
    <xdr:ext cx="184731" cy="264560"/>
    <xdr:sp macro="" textlink="">
      <xdr:nvSpPr>
        <xdr:cNvPr id="7" name="TextBox 6"/>
        <xdr:cNvSpPr txBox="1"/>
      </xdr:nvSpPr>
      <xdr:spPr>
        <a:xfrm>
          <a:off x="7191375" y="8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11</xdr:col>
      <xdr:colOff>438150</xdr:colOff>
      <xdr:row>5</xdr:row>
      <xdr:rowOff>104775</xdr:rowOff>
    </xdr:from>
    <xdr:ext cx="184731" cy="264560"/>
    <xdr:sp macro="" textlink="">
      <xdr:nvSpPr>
        <xdr:cNvPr id="8" name="TextBox 7"/>
        <xdr:cNvSpPr txBox="1"/>
      </xdr:nvSpPr>
      <xdr:spPr>
        <a:xfrm>
          <a:off x="7191375" y="8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10</xdr:col>
      <xdr:colOff>438150</xdr:colOff>
      <xdr:row>5</xdr:row>
      <xdr:rowOff>104775</xdr:rowOff>
    </xdr:from>
    <xdr:ext cx="184731" cy="264560"/>
    <xdr:sp macro="" textlink="">
      <xdr:nvSpPr>
        <xdr:cNvPr id="9" name="TextBox 8"/>
        <xdr:cNvSpPr txBox="1"/>
      </xdr:nvSpPr>
      <xdr:spPr>
        <a:xfrm>
          <a:off x="7191375" y="8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11</xdr:col>
      <xdr:colOff>438150</xdr:colOff>
      <xdr:row>5</xdr:row>
      <xdr:rowOff>104775</xdr:rowOff>
    </xdr:from>
    <xdr:ext cx="184731" cy="264560"/>
    <xdr:sp macro="" textlink="">
      <xdr:nvSpPr>
        <xdr:cNvPr id="10" name="TextBox 9"/>
        <xdr:cNvSpPr txBox="1"/>
      </xdr:nvSpPr>
      <xdr:spPr>
        <a:xfrm>
          <a:off x="7191375" y="8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438150</xdr:colOff>
      <xdr:row>5</xdr:row>
      <xdr:rowOff>104775</xdr:rowOff>
    </xdr:from>
    <xdr:ext cx="184731" cy="264560"/>
    <xdr:sp macro="" textlink="">
      <xdr:nvSpPr>
        <xdr:cNvPr id="11" name="TextBox 10"/>
        <xdr:cNvSpPr txBox="1"/>
      </xdr:nvSpPr>
      <xdr:spPr>
        <a:xfrm>
          <a:off x="7191375" y="81915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438150</xdr:colOff>
      <xdr:row>13</xdr:row>
      <xdr:rowOff>104775</xdr:rowOff>
    </xdr:from>
    <xdr:ext cx="184731" cy="264560"/>
    <xdr:sp macro="" textlink="">
      <xdr:nvSpPr>
        <xdr:cNvPr id="12" name="TextBox 11"/>
        <xdr:cNvSpPr txBox="1"/>
      </xdr:nvSpPr>
      <xdr:spPr>
        <a:xfrm>
          <a:off x="7464669" y="5663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438150</xdr:colOff>
      <xdr:row>13</xdr:row>
      <xdr:rowOff>104775</xdr:rowOff>
    </xdr:from>
    <xdr:ext cx="184731" cy="264560"/>
    <xdr:sp macro="" textlink="">
      <xdr:nvSpPr>
        <xdr:cNvPr id="13" name="TextBox 12"/>
        <xdr:cNvSpPr txBox="1"/>
      </xdr:nvSpPr>
      <xdr:spPr>
        <a:xfrm>
          <a:off x="8028842" y="5663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438150</xdr:colOff>
      <xdr:row>13</xdr:row>
      <xdr:rowOff>104775</xdr:rowOff>
    </xdr:from>
    <xdr:ext cx="184731" cy="264560"/>
    <xdr:sp macro="" textlink="">
      <xdr:nvSpPr>
        <xdr:cNvPr id="14" name="TextBox 13"/>
        <xdr:cNvSpPr txBox="1"/>
      </xdr:nvSpPr>
      <xdr:spPr>
        <a:xfrm>
          <a:off x="8541727" y="5663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16</xdr:col>
      <xdr:colOff>438150</xdr:colOff>
      <xdr:row>13</xdr:row>
      <xdr:rowOff>104775</xdr:rowOff>
    </xdr:from>
    <xdr:ext cx="184731" cy="264560"/>
    <xdr:sp macro="" textlink="">
      <xdr:nvSpPr>
        <xdr:cNvPr id="15" name="TextBox 14"/>
        <xdr:cNvSpPr txBox="1"/>
      </xdr:nvSpPr>
      <xdr:spPr>
        <a:xfrm>
          <a:off x="9113227" y="5663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438150</xdr:colOff>
      <xdr:row>13</xdr:row>
      <xdr:rowOff>104775</xdr:rowOff>
    </xdr:from>
    <xdr:ext cx="184731" cy="264560"/>
    <xdr:sp macro="" textlink="">
      <xdr:nvSpPr>
        <xdr:cNvPr id="16" name="TextBox 15"/>
        <xdr:cNvSpPr txBox="1"/>
      </xdr:nvSpPr>
      <xdr:spPr>
        <a:xfrm>
          <a:off x="8028842" y="5663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438150</xdr:colOff>
      <xdr:row>13</xdr:row>
      <xdr:rowOff>104775</xdr:rowOff>
    </xdr:from>
    <xdr:ext cx="184731" cy="264560"/>
    <xdr:sp macro="" textlink="">
      <xdr:nvSpPr>
        <xdr:cNvPr id="17" name="TextBox 16"/>
        <xdr:cNvSpPr txBox="1"/>
      </xdr:nvSpPr>
      <xdr:spPr>
        <a:xfrm>
          <a:off x="8028842" y="5663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438150</xdr:colOff>
      <xdr:row>13</xdr:row>
      <xdr:rowOff>104775</xdr:rowOff>
    </xdr:from>
    <xdr:ext cx="184731" cy="264560"/>
    <xdr:sp macro="" textlink="">
      <xdr:nvSpPr>
        <xdr:cNvPr id="18" name="TextBox 17"/>
        <xdr:cNvSpPr txBox="1"/>
      </xdr:nvSpPr>
      <xdr:spPr>
        <a:xfrm>
          <a:off x="8541727" y="5663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438150</xdr:colOff>
      <xdr:row>13</xdr:row>
      <xdr:rowOff>104775</xdr:rowOff>
    </xdr:from>
    <xdr:ext cx="184731" cy="264560"/>
    <xdr:sp macro="" textlink="">
      <xdr:nvSpPr>
        <xdr:cNvPr id="19" name="TextBox 18"/>
        <xdr:cNvSpPr txBox="1"/>
      </xdr:nvSpPr>
      <xdr:spPr>
        <a:xfrm>
          <a:off x="8028842" y="5663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438150</xdr:colOff>
      <xdr:row>13</xdr:row>
      <xdr:rowOff>104775</xdr:rowOff>
    </xdr:from>
    <xdr:ext cx="184731" cy="264560"/>
    <xdr:sp macro="" textlink="">
      <xdr:nvSpPr>
        <xdr:cNvPr id="20" name="TextBox 19"/>
        <xdr:cNvSpPr txBox="1"/>
      </xdr:nvSpPr>
      <xdr:spPr>
        <a:xfrm>
          <a:off x="8541727" y="5663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16</xdr:col>
      <xdr:colOff>438150</xdr:colOff>
      <xdr:row>13</xdr:row>
      <xdr:rowOff>104775</xdr:rowOff>
    </xdr:from>
    <xdr:ext cx="184731" cy="264560"/>
    <xdr:sp macro="" textlink="">
      <xdr:nvSpPr>
        <xdr:cNvPr id="21" name="TextBox 20"/>
        <xdr:cNvSpPr txBox="1"/>
      </xdr:nvSpPr>
      <xdr:spPr>
        <a:xfrm>
          <a:off x="9113227" y="566371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438150</xdr:colOff>
      <xdr:row>13</xdr:row>
      <xdr:rowOff>104775</xdr:rowOff>
    </xdr:from>
    <xdr:ext cx="184731" cy="264560"/>
    <xdr:sp macro="" textlink="">
      <xdr:nvSpPr>
        <xdr:cNvPr id="22" name="TextBox 21"/>
        <xdr:cNvSpPr txBox="1"/>
      </xdr:nvSpPr>
      <xdr:spPr>
        <a:xfrm>
          <a:off x="9545515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438150</xdr:colOff>
      <xdr:row>13</xdr:row>
      <xdr:rowOff>104775</xdr:rowOff>
    </xdr:from>
    <xdr:ext cx="184731" cy="264560"/>
    <xdr:sp macro="" textlink="">
      <xdr:nvSpPr>
        <xdr:cNvPr id="23" name="TextBox 22"/>
        <xdr:cNvSpPr txBox="1"/>
      </xdr:nvSpPr>
      <xdr:spPr>
        <a:xfrm>
          <a:off x="10234246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438150</xdr:colOff>
      <xdr:row>13</xdr:row>
      <xdr:rowOff>104775</xdr:rowOff>
    </xdr:from>
    <xdr:ext cx="184731" cy="264560"/>
    <xdr:sp macro="" textlink="">
      <xdr:nvSpPr>
        <xdr:cNvPr id="24" name="TextBox 23"/>
        <xdr:cNvSpPr txBox="1"/>
      </xdr:nvSpPr>
      <xdr:spPr>
        <a:xfrm>
          <a:off x="10922977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16</xdr:col>
      <xdr:colOff>438150</xdr:colOff>
      <xdr:row>13</xdr:row>
      <xdr:rowOff>104775</xdr:rowOff>
    </xdr:from>
    <xdr:ext cx="184731" cy="264560"/>
    <xdr:sp macro="" textlink="">
      <xdr:nvSpPr>
        <xdr:cNvPr id="25" name="TextBox 24"/>
        <xdr:cNvSpPr txBox="1"/>
      </xdr:nvSpPr>
      <xdr:spPr>
        <a:xfrm>
          <a:off x="11611708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438150</xdr:colOff>
      <xdr:row>13</xdr:row>
      <xdr:rowOff>104775</xdr:rowOff>
    </xdr:from>
    <xdr:ext cx="184731" cy="264560"/>
    <xdr:sp macro="" textlink="">
      <xdr:nvSpPr>
        <xdr:cNvPr id="26" name="TextBox 25"/>
        <xdr:cNvSpPr txBox="1"/>
      </xdr:nvSpPr>
      <xdr:spPr>
        <a:xfrm>
          <a:off x="10234246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438150</xdr:colOff>
      <xdr:row>13</xdr:row>
      <xdr:rowOff>104775</xdr:rowOff>
    </xdr:from>
    <xdr:ext cx="184731" cy="264560"/>
    <xdr:sp macro="" textlink="">
      <xdr:nvSpPr>
        <xdr:cNvPr id="27" name="TextBox 26"/>
        <xdr:cNvSpPr txBox="1"/>
      </xdr:nvSpPr>
      <xdr:spPr>
        <a:xfrm>
          <a:off x="10234246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438150</xdr:colOff>
      <xdr:row>13</xdr:row>
      <xdr:rowOff>104775</xdr:rowOff>
    </xdr:from>
    <xdr:ext cx="184731" cy="264560"/>
    <xdr:sp macro="" textlink="">
      <xdr:nvSpPr>
        <xdr:cNvPr id="28" name="TextBox 27"/>
        <xdr:cNvSpPr txBox="1"/>
      </xdr:nvSpPr>
      <xdr:spPr>
        <a:xfrm>
          <a:off x="10922977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438150</xdr:colOff>
      <xdr:row>13</xdr:row>
      <xdr:rowOff>104775</xdr:rowOff>
    </xdr:from>
    <xdr:ext cx="184731" cy="264560"/>
    <xdr:sp macro="" textlink="">
      <xdr:nvSpPr>
        <xdr:cNvPr id="29" name="TextBox 28"/>
        <xdr:cNvSpPr txBox="1"/>
      </xdr:nvSpPr>
      <xdr:spPr>
        <a:xfrm>
          <a:off x="10234246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438150</xdr:colOff>
      <xdr:row>13</xdr:row>
      <xdr:rowOff>104775</xdr:rowOff>
    </xdr:from>
    <xdr:ext cx="184731" cy="264560"/>
    <xdr:sp macro="" textlink="">
      <xdr:nvSpPr>
        <xdr:cNvPr id="30" name="TextBox 29"/>
        <xdr:cNvSpPr txBox="1"/>
      </xdr:nvSpPr>
      <xdr:spPr>
        <a:xfrm>
          <a:off x="10922977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16</xdr:col>
      <xdr:colOff>438150</xdr:colOff>
      <xdr:row>13</xdr:row>
      <xdr:rowOff>104775</xdr:rowOff>
    </xdr:from>
    <xdr:ext cx="184731" cy="264560"/>
    <xdr:sp macro="" textlink="">
      <xdr:nvSpPr>
        <xdr:cNvPr id="31" name="TextBox 30"/>
        <xdr:cNvSpPr txBox="1"/>
      </xdr:nvSpPr>
      <xdr:spPr>
        <a:xfrm>
          <a:off x="11611708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438150</xdr:colOff>
      <xdr:row>13</xdr:row>
      <xdr:rowOff>104775</xdr:rowOff>
    </xdr:from>
    <xdr:ext cx="184731" cy="264560"/>
    <xdr:sp macro="" textlink="">
      <xdr:nvSpPr>
        <xdr:cNvPr id="32" name="TextBox 31"/>
        <xdr:cNvSpPr txBox="1"/>
      </xdr:nvSpPr>
      <xdr:spPr>
        <a:xfrm>
          <a:off x="9545515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438150</xdr:colOff>
      <xdr:row>13</xdr:row>
      <xdr:rowOff>104775</xdr:rowOff>
    </xdr:from>
    <xdr:ext cx="184731" cy="264560"/>
    <xdr:sp macro="" textlink="">
      <xdr:nvSpPr>
        <xdr:cNvPr id="33" name="TextBox 32"/>
        <xdr:cNvSpPr txBox="1"/>
      </xdr:nvSpPr>
      <xdr:spPr>
        <a:xfrm>
          <a:off x="10234246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438150</xdr:colOff>
      <xdr:row>13</xdr:row>
      <xdr:rowOff>104775</xdr:rowOff>
    </xdr:from>
    <xdr:ext cx="184731" cy="264560"/>
    <xdr:sp macro="" textlink="">
      <xdr:nvSpPr>
        <xdr:cNvPr id="34" name="TextBox 33"/>
        <xdr:cNvSpPr txBox="1"/>
      </xdr:nvSpPr>
      <xdr:spPr>
        <a:xfrm>
          <a:off x="10922977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438150</xdr:colOff>
      <xdr:row>13</xdr:row>
      <xdr:rowOff>104775</xdr:rowOff>
    </xdr:from>
    <xdr:ext cx="184731" cy="264560"/>
    <xdr:sp macro="" textlink="">
      <xdr:nvSpPr>
        <xdr:cNvPr id="35" name="TextBox 34"/>
        <xdr:cNvSpPr txBox="1"/>
      </xdr:nvSpPr>
      <xdr:spPr>
        <a:xfrm>
          <a:off x="11611708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438150</xdr:colOff>
      <xdr:row>13</xdr:row>
      <xdr:rowOff>104775</xdr:rowOff>
    </xdr:from>
    <xdr:ext cx="184731" cy="264560"/>
    <xdr:sp macro="" textlink="">
      <xdr:nvSpPr>
        <xdr:cNvPr id="36" name="TextBox 35"/>
        <xdr:cNvSpPr txBox="1"/>
      </xdr:nvSpPr>
      <xdr:spPr>
        <a:xfrm>
          <a:off x="10234246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438150</xdr:colOff>
      <xdr:row>13</xdr:row>
      <xdr:rowOff>104775</xdr:rowOff>
    </xdr:from>
    <xdr:ext cx="184731" cy="264560"/>
    <xdr:sp macro="" textlink="">
      <xdr:nvSpPr>
        <xdr:cNvPr id="37" name="TextBox 36"/>
        <xdr:cNvSpPr txBox="1"/>
      </xdr:nvSpPr>
      <xdr:spPr>
        <a:xfrm>
          <a:off x="10234246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438150</xdr:colOff>
      <xdr:row>13</xdr:row>
      <xdr:rowOff>104775</xdr:rowOff>
    </xdr:from>
    <xdr:ext cx="184731" cy="264560"/>
    <xdr:sp macro="" textlink="">
      <xdr:nvSpPr>
        <xdr:cNvPr id="38" name="TextBox 37"/>
        <xdr:cNvSpPr txBox="1"/>
      </xdr:nvSpPr>
      <xdr:spPr>
        <a:xfrm>
          <a:off x="10922977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438150</xdr:colOff>
      <xdr:row>13</xdr:row>
      <xdr:rowOff>104775</xdr:rowOff>
    </xdr:from>
    <xdr:ext cx="184731" cy="264560"/>
    <xdr:sp macro="" textlink="">
      <xdr:nvSpPr>
        <xdr:cNvPr id="39" name="TextBox 38"/>
        <xdr:cNvSpPr txBox="1"/>
      </xdr:nvSpPr>
      <xdr:spPr>
        <a:xfrm>
          <a:off x="10234246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438150</xdr:colOff>
      <xdr:row>13</xdr:row>
      <xdr:rowOff>104775</xdr:rowOff>
    </xdr:from>
    <xdr:ext cx="184731" cy="264560"/>
    <xdr:sp macro="" textlink="">
      <xdr:nvSpPr>
        <xdr:cNvPr id="40" name="TextBox 39"/>
        <xdr:cNvSpPr txBox="1"/>
      </xdr:nvSpPr>
      <xdr:spPr>
        <a:xfrm>
          <a:off x="10922977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438150</xdr:colOff>
      <xdr:row>13</xdr:row>
      <xdr:rowOff>104775</xdr:rowOff>
    </xdr:from>
    <xdr:ext cx="184731" cy="264560"/>
    <xdr:sp macro="" textlink="">
      <xdr:nvSpPr>
        <xdr:cNvPr id="41" name="TextBox 40"/>
        <xdr:cNvSpPr txBox="1"/>
      </xdr:nvSpPr>
      <xdr:spPr>
        <a:xfrm>
          <a:off x="11611708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12</xdr:col>
      <xdr:colOff>438150</xdr:colOff>
      <xdr:row>13</xdr:row>
      <xdr:rowOff>104775</xdr:rowOff>
    </xdr:from>
    <xdr:ext cx="184731" cy="264560"/>
    <xdr:sp macro="" textlink="">
      <xdr:nvSpPr>
        <xdr:cNvPr id="42" name="TextBox 41"/>
        <xdr:cNvSpPr txBox="1"/>
      </xdr:nvSpPr>
      <xdr:spPr>
        <a:xfrm>
          <a:off x="9545515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438150</xdr:colOff>
      <xdr:row>13</xdr:row>
      <xdr:rowOff>104775</xdr:rowOff>
    </xdr:from>
    <xdr:ext cx="184731" cy="264560"/>
    <xdr:sp macro="" textlink="">
      <xdr:nvSpPr>
        <xdr:cNvPr id="43" name="TextBox 42"/>
        <xdr:cNvSpPr txBox="1"/>
      </xdr:nvSpPr>
      <xdr:spPr>
        <a:xfrm>
          <a:off x="10234246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438150</xdr:colOff>
      <xdr:row>13</xdr:row>
      <xdr:rowOff>104775</xdr:rowOff>
    </xdr:from>
    <xdr:ext cx="184731" cy="264560"/>
    <xdr:sp macro="" textlink="">
      <xdr:nvSpPr>
        <xdr:cNvPr id="44" name="TextBox 43"/>
        <xdr:cNvSpPr txBox="1"/>
      </xdr:nvSpPr>
      <xdr:spPr>
        <a:xfrm>
          <a:off x="10922977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438150</xdr:colOff>
      <xdr:row>13</xdr:row>
      <xdr:rowOff>104775</xdr:rowOff>
    </xdr:from>
    <xdr:ext cx="184731" cy="264560"/>
    <xdr:sp macro="" textlink="">
      <xdr:nvSpPr>
        <xdr:cNvPr id="45" name="TextBox 44"/>
        <xdr:cNvSpPr txBox="1"/>
      </xdr:nvSpPr>
      <xdr:spPr>
        <a:xfrm>
          <a:off x="11611708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438150</xdr:colOff>
      <xdr:row>13</xdr:row>
      <xdr:rowOff>104775</xdr:rowOff>
    </xdr:from>
    <xdr:ext cx="184731" cy="264560"/>
    <xdr:sp macro="" textlink="">
      <xdr:nvSpPr>
        <xdr:cNvPr id="46" name="TextBox 45"/>
        <xdr:cNvSpPr txBox="1"/>
      </xdr:nvSpPr>
      <xdr:spPr>
        <a:xfrm>
          <a:off x="10234246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438150</xdr:colOff>
      <xdr:row>13</xdr:row>
      <xdr:rowOff>104775</xdr:rowOff>
    </xdr:from>
    <xdr:ext cx="184731" cy="264560"/>
    <xdr:sp macro="" textlink="">
      <xdr:nvSpPr>
        <xdr:cNvPr id="47" name="TextBox 46"/>
        <xdr:cNvSpPr txBox="1"/>
      </xdr:nvSpPr>
      <xdr:spPr>
        <a:xfrm>
          <a:off x="10234246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438150</xdr:colOff>
      <xdr:row>13</xdr:row>
      <xdr:rowOff>104775</xdr:rowOff>
    </xdr:from>
    <xdr:ext cx="184731" cy="264560"/>
    <xdr:sp macro="" textlink="">
      <xdr:nvSpPr>
        <xdr:cNvPr id="48" name="TextBox 47"/>
        <xdr:cNvSpPr txBox="1"/>
      </xdr:nvSpPr>
      <xdr:spPr>
        <a:xfrm>
          <a:off x="10922977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13</xdr:col>
      <xdr:colOff>438150</xdr:colOff>
      <xdr:row>13</xdr:row>
      <xdr:rowOff>104775</xdr:rowOff>
    </xdr:from>
    <xdr:ext cx="184731" cy="264560"/>
    <xdr:sp macro="" textlink="">
      <xdr:nvSpPr>
        <xdr:cNvPr id="49" name="TextBox 48"/>
        <xdr:cNvSpPr txBox="1"/>
      </xdr:nvSpPr>
      <xdr:spPr>
        <a:xfrm>
          <a:off x="10234246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14</xdr:col>
      <xdr:colOff>438150</xdr:colOff>
      <xdr:row>13</xdr:row>
      <xdr:rowOff>104775</xdr:rowOff>
    </xdr:from>
    <xdr:ext cx="184731" cy="264560"/>
    <xdr:sp macro="" textlink="">
      <xdr:nvSpPr>
        <xdr:cNvPr id="50" name="TextBox 49"/>
        <xdr:cNvSpPr txBox="1"/>
      </xdr:nvSpPr>
      <xdr:spPr>
        <a:xfrm>
          <a:off x="10922977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15</xdr:col>
      <xdr:colOff>438150</xdr:colOff>
      <xdr:row>13</xdr:row>
      <xdr:rowOff>104775</xdr:rowOff>
    </xdr:from>
    <xdr:ext cx="184731" cy="264560"/>
    <xdr:sp macro="" textlink="">
      <xdr:nvSpPr>
        <xdr:cNvPr id="51" name="TextBox 50"/>
        <xdr:cNvSpPr txBox="1"/>
      </xdr:nvSpPr>
      <xdr:spPr>
        <a:xfrm>
          <a:off x="11611708" y="3240698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6</xdr:col>
      <xdr:colOff>438150</xdr:colOff>
      <xdr:row>7</xdr:row>
      <xdr:rowOff>104775</xdr:rowOff>
    </xdr:from>
    <xdr:ext cx="184731" cy="264560"/>
    <xdr:sp macro="" textlink="">
      <xdr:nvSpPr>
        <xdr:cNvPr id="52" name="TextBox 51"/>
        <xdr:cNvSpPr txBox="1"/>
      </xdr:nvSpPr>
      <xdr:spPr>
        <a:xfrm>
          <a:off x="113061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7</xdr:col>
      <xdr:colOff>438150</xdr:colOff>
      <xdr:row>7</xdr:row>
      <xdr:rowOff>104775</xdr:rowOff>
    </xdr:from>
    <xdr:ext cx="184731" cy="264560"/>
    <xdr:sp macro="" textlink="">
      <xdr:nvSpPr>
        <xdr:cNvPr id="53" name="TextBox 52"/>
        <xdr:cNvSpPr txBox="1"/>
      </xdr:nvSpPr>
      <xdr:spPr>
        <a:xfrm>
          <a:off x="119919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8</xdr:col>
      <xdr:colOff>438150</xdr:colOff>
      <xdr:row>7</xdr:row>
      <xdr:rowOff>104775</xdr:rowOff>
    </xdr:from>
    <xdr:ext cx="184731" cy="264560"/>
    <xdr:sp macro="" textlink="">
      <xdr:nvSpPr>
        <xdr:cNvPr id="54" name="TextBox 53"/>
        <xdr:cNvSpPr txBox="1"/>
      </xdr:nvSpPr>
      <xdr:spPr>
        <a:xfrm>
          <a:off x="126777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7</xdr:col>
      <xdr:colOff>438150</xdr:colOff>
      <xdr:row>7</xdr:row>
      <xdr:rowOff>104775</xdr:rowOff>
    </xdr:from>
    <xdr:ext cx="184731" cy="264560"/>
    <xdr:sp macro="" textlink="">
      <xdr:nvSpPr>
        <xdr:cNvPr id="55" name="TextBox 54"/>
        <xdr:cNvSpPr txBox="1"/>
      </xdr:nvSpPr>
      <xdr:spPr>
        <a:xfrm>
          <a:off x="119919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7</xdr:col>
      <xdr:colOff>438150</xdr:colOff>
      <xdr:row>7</xdr:row>
      <xdr:rowOff>104775</xdr:rowOff>
    </xdr:from>
    <xdr:ext cx="184731" cy="264560"/>
    <xdr:sp macro="" textlink="">
      <xdr:nvSpPr>
        <xdr:cNvPr id="56" name="TextBox 55"/>
        <xdr:cNvSpPr txBox="1"/>
      </xdr:nvSpPr>
      <xdr:spPr>
        <a:xfrm>
          <a:off x="119919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8</xdr:col>
      <xdr:colOff>438150</xdr:colOff>
      <xdr:row>7</xdr:row>
      <xdr:rowOff>104775</xdr:rowOff>
    </xdr:from>
    <xdr:ext cx="184731" cy="264560"/>
    <xdr:sp macro="" textlink="">
      <xdr:nvSpPr>
        <xdr:cNvPr id="57" name="TextBox 56"/>
        <xdr:cNvSpPr txBox="1"/>
      </xdr:nvSpPr>
      <xdr:spPr>
        <a:xfrm>
          <a:off x="126777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7</xdr:col>
      <xdr:colOff>438150</xdr:colOff>
      <xdr:row>7</xdr:row>
      <xdr:rowOff>104775</xdr:rowOff>
    </xdr:from>
    <xdr:ext cx="184731" cy="264560"/>
    <xdr:sp macro="" textlink="">
      <xdr:nvSpPr>
        <xdr:cNvPr id="58" name="TextBox 57"/>
        <xdr:cNvSpPr txBox="1"/>
      </xdr:nvSpPr>
      <xdr:spPr>
        <a:xfrm>
          <a:off x="119919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8</xdr:col>
      <xdr:colOff>438150</xdr:colOff>
      <xdr:row>7</xdr:row>
      <xdr:rowOff>104775</xdr:rowOff>
    </xdr:from>
    <xdr:ext cx="184731" cy="264560"/>
    <xdr:sp macro="" textlink="">
      <xdr:nvSpPr>
        <xdr:cNvPr id="59" name="TextBox 58"/>
        <xdr:cNvSpPr txBox="1"/>
      </xdr:nvSpPr>
      <xdr:spPr>
        <a:xfrm>
          <a:off x="126777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6</xdr:col>
      <xdr:colOff>438150</xdr:colOff>
      <xdr:row>7</xdr:row>
      <xdr:rowOff>104775</xdr:rowOff>
    </xdr:from>
    <xdr:ext cx="184731" cy="264560"/>
    <xdr:sp macro="" textlink="">
      <xdr:nvSpPr>
        <xdr:cNvPr id="60" name="TextBox 59"/>
        <xdr:cNvSpPr txBox="1"/>
      </xdr:nvSpPr>
      <xdr:spPr>
        <a:xfrm>
          <a:off x="113061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7</xdr:col>
      <xdr:colOff>438150</xdr:colOff>
      <xdr:row>7</xdr:row>
      <xdr:rowOff>104775</xdr:rowOff>
    </xdr:from>
    <xdr:ext cx="184731" cy="264560"/>
    <xdr:sp macro="" textlink="">
      <xdr:nvSpPr>
        <xdr:cNvPr id="61" name="TextBox 60"/>
        <xdr:cNvSpPr txBox="1"/>
      </xdr:nvSpPr>
      <xdr:spPr>
        <a:xfrm>
          <a:off x="119919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8</xdr:col>
      <xdr:colOff>438150</xdr:colOff>
      <xdr:row>7</xdr:row>
      <xdr:rowOff>104775</xdr:rowOff>
    </xdr:from>
    <xdr:ext cx="184731" cy="264560"/>
    <xdr:sp macro="" textlink="">
      <xdr:nvSpPr>
        <xdr:cNvPr id="62" name="TextBox 61"/>
        <xdr:cNvSpPr txBox="1"/>
      </xdr:nvSpPr>
      <xdr:spPr>
        <a:xfrm>
          <a:off x="126777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7</xdr:col>
      <xdr:colOff>438150</xdr:colOff>
      <xdr:row>7</xdr:row>
      <xdr:rowOff>104775</xdr:rowOff>
    </xdr:from>
    <xdr:ext cx="184731" cy="264560"/>
    <xdr:sp macro="" textlink="">
      <xdr:nvSpPr>
        <xdr:cNvPr id="63" name="TextBox 62"/>
        <xdr:cNvSpPr txBox="1"/>
      </xdr:nvSpPr>
      <xdr:spPr>
        <a:xfrm>
          <a:off x="119919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7</xdr:col>
      <xdr:colOff>438150</xdr:colOff>
      <xdr:row>7</xdr:row>
      <xdr:rowOff>104775</xdr:rowOff>
    </xdr:from>
    <xdr:ext cx="184731" cy="264560"/>
    <xdr:sp macro="" textlink="">
      <xdr:nvSpPr>
        <xdr:cNvPr id="64" name="TextBox 63"/>
        <xdr:cNvSpPr txBox="1"/>
      </xdr:nvSpPr>
      <xdr:spPr>
        <a:xfrm>
          <a:off x="119919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8</xdr:col>
      <xdr:colOff>438150</xdr:colOff>
      <xdr:row>7</xdr:row>
      <xdr:rowOff>104775</xdr:rowOff>
    </xdr:from>
    <xdr:ext cx="184731" cy="264560"/>
    <xdr:sp macro="" textlink="">
      <xdr:nvSpPr>
        <xdr:cNvPr id="65" name="TextBox 64"/>
        <xdr:cNvSpPr txBox="1"/>
      </xdr:nvSpPr>
      <xdr:spPr>
        <a:xfrm>
          <a:off x="126777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7</xdr:col>
      <xdr:colOff>438150</xdr:colOff>
      <xdr:row>7</xdr:row>
      <xdr:rowOff>104775</xdr:rowOff>
    </xdr:from>
    <xdr:ext cx="184731" cy="264560"/>
    <xdr:sp macro="" textlink="">
      <xdr:nvSpPr>
        <xdr:cNvPr id="66" name="TextBox 65"/>
        <xdr:cNvSpPr txBox="1"/>
      </xdr:nvSpPr>
      <xdr:spPr>
        <a:xfrm>
          <a:off x="119919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8</xdr:col>
      <xdr:colOff>438150</xdr:colOff>
      <xdr:row>7</xdr:row>
      <xdr:rowOff>104775</xdr:rowOff>
    </xdr:from>
    <xdr:ext cx="184731" cy="264560"/>
    <xdr:sp macro="" textlink="">
      <xdr:nvSpPr>
        <xdr:cNvPr id="67" name="TextBox 66"/>
        <xdr:cNvSpPr txBox="1"/>
      </xdr:nvSpPr>
      <xdr:spPr>
        <a:xfrm>
          <a:off x="126777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5</xdr:col>
      <xdr:colOff>438150</xdr:colOff>
      <xdr:row>7</xdr:row>
      <xdr:rowOff>104775</xdr:rowOff>
    </xdr:from>
    <xdr:ext cx="184731" cy="264560"/>
    <xdr:sp macro="" textlink="">
      <xdr:nvSpPr>
        <xdr:cNvPr id="68" name="TextBox 67"/>
        <xdr:cNvSpPr txBox="1"/>
      </xdr:nvSpPr>
      <xdr:spPr>
        <a:xfrm>
          <a:off x="10763250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6</xdr:col>
      <xdr:colOff>438150</xdr:colOff>
      <xdr:row>7</xdr:row>
      <xdr:rowOff>104775</xdr:rowOff>
    </xdr:from>
    <xdr:ext cx="184731" cy="264560"/>
    <xdr:sp macro="" textlink="">
      <xdr:nvSpPr>
        <xdr:cNvPr id="69" name="TextBox 68"/>
        <xdr:cNvSpPr txBox="1"/>
      </xdr:nvSpPr>
      <xdr:spPr>
        <a:xfrm>
          <a:off x="113061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7</xdr:col>
      <xdr:colOff>438150</xdr:colOff>
      <xdr:row>7</xdr:row>
      <xdr:rowOff>104775</xdr:rowOff>
    </xdr:from>
    <xdr:ext cx="184731" cy="264560"/>
    <xdr:sp macro="" textlink="">
      <xdr:nvSpPr>
        <xdr:cNvPr id="70" name="TextBox 69"/>
        <xdr:cNvSpPr txBox="1"/>
      </xdr:nvSpPr>
      <xdr:spPr>
        <a:xfrm>
          <a:off x="119919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8</xdr:col>
      <xdr:colOff>438150</xdr:colOff>
      <xdr:row>7</xdr:row>
      <xdr:rowOff>104775</xdr:rowOff>
    </xdr:from>
    <xdr:ext cx="184731" cy="264560"/>
    <xdr:sp macro="" textlink="">
      <xdr:nvSpPr>
        <xdr:cNvPr id="71" name="TextBox 70"/>
        <xdr:cNvSpPr txBox="1"/>
      </xdr:nvSpPr>
      <xdr:spPr>
        <a:xfrm>
          <a:off x="126777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6</xdr:col>
      <xdr:colOff>438150</xdr:colOff>
      <xdr:row>7</xdr:row>
      <xdr:rowOff>104775</xdr:rowOff>
    </xdr:from>
    <xdr:ext cx="184731" cy="264560"/>
    <xdr:sp macro="" textlink="">
      <xdr:nvSpPr>
        <xdr:cNvPr id="72" name="TextBox 71"/>
        <xdr:cNvSpPr txBox="1"/>
      </xdr:nvSpPr>
      <xdr:spPr>
        <a:xfrm>
          <a:off x="113061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6</xdr:col>
      <xdr:colOff>438150</xdr:colOff>
      <xdr:row>7</xdr:row>
      <xdr:rowOff>104775</xdr:rowOff>
    </xdr:from>
    <xdr:ext cx="184731" cy="264560"/>
    <xdr:sp macro="" textlink="">
      <xdr:nvSpPr>
        <xdr:cNvPr id="73" name="TextBox 72"/>
        <xdr:cNvSpPr txBox="1"/>
      </xdr:nvSpPr>
      <xdr:spPr>
        <a:xfrm>
          <a:off x="113061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7</xdr:col>
      <xdr:colOff>438150</xdr:colOff>
      <xdr:row>7</xdr:row>
      <xdr:rowOff>104775</xdr:rowOff>
    </xdr:from>
    <xdr:ext cx="184731" cy="264560"/>
    <xdr:sp macro="" textlink="">
      <xdr:nvSpPr>
        <xdr:cNvPr id="74" name="TextBox 73"/>
        <xdr:cNvSpPr txBox="1"/>
      </xdr:nvSpPr>
      <xdr:spPr>
        <a:xfrm>
          <a:off x="119919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6</xdr:col>
      <xdr:colOff>438150</xdr:colOff>
      <xdr:row>7</xdr:row>
      <xdr:rowOff>104775</xdr:rowOff>
    </xdr:from>
    <xdr:ext cx="184731" cy="264560"/>
    <xdr:sp macro="" textlink="">
      <xdr:nvSpPr>
        <xdr:cNvPr id="75" name="TextBox 74"/>
        <xdr:cNvSpPr txBox="1"/>
      </xdr:nvSpPr>
      <xdr:spPr>
        <a:xfrm>
          <a:off x="113061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7</xdr:col>
      <xdr:colOff>438150</xdr:colOff>
      <xdr:row>7</xdr:row>
      <xdr:rowOff>104775</xdr:rowOff>
    </xdr:from>
    <xdr:ext cx="184731" cy="264560"/>
    <xdr:sp macro="" textlink="">
      <xdr:nvSpPr>
        <xdr:cNvPr id="76" name="TextBox 75"/>
        <xdr:cNvSpPr txBox="1"/>
      </xdr:nvSpPr>
      <xdr:spPr>
        <a:xfrm>
          <a:off x="119919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8</xdr:col>
      <xdr:colOff>438150</xdr:colOff>
      <xdr:row>7</xdr:row>
      <xdr:rowOff>104775</xdr:rowOff>
    </xdr:from>
    <xdr:ext cx="184731" cy="264560"/>
    <xdr:sp macro="" textlink="">
      <xdr:nvSpPr>
        <xdr:cNvPr id="77" name="TextBox 76"/>
        <xdr:cNvSpPr txBox="1"/>
      </xdr:nvSpPr>
      <xdr:spPr>
        <a:xfrm>
          <a:off x="126777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5</xdr:col>
      <xdr:colOff>438150</xdr:colOff>
      <xdr:row>7</xdr:row>
      <xdr:rowOff>104775</xdr:rowOff>
    </xdr:from>
    <xdr:ext cx="184731" cy="264560"/>
    <xdr:sp macro="" textlink="">
      <xdr:nvSpPr>
        <xdr:cNvPr id="78" name="TextBox 77"/>
        <xdr:cNvSpPr txBox="1"/>
      </xdr:nvSpPr>
      <xdr:spPr>
        <a:xfrm>
          <a:off x="10763250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6</xdr:col>
      <xdr:colOff>438150</xdr:colOff>
      <xdr:row>7</xdr:row>
      <xdr:rowOff>104775</xdr:rowOff>
    </xdr:from>
    <xdr:ext cx="184731" cy="264560"/>
    <xdr:sp macro="" textlink="">
      <xdr:nvSpPr>
        <xdr:cNvPr id="79" name="TextBox 78"/>
        <xdr:cNvSpPr txBox="1"/>
      </xdr:nvSpPr>
      <xdr:spPr>
        <a:xfrm>
          <a:off x="113061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7</xdr:col>
      <xdr:colOff>438150</xdr:colOff>
      <xdr:row>7</xdr:row>
      <xdr:rowOff>104775</xdr:rowOff>
    </xdr:from>
    <xdr:ext cx="184731" cy="264560"/>
    <xdr:sp macro="" textlink="">
      <xdr:nvSpPr>
        <xdr:cNvPr id="80" name="TextBox 79"/>
        <xdr:cNvSpPr txBox="1"/>
      </xdr:nvSpPr>
      <xdr:spPr>
        <a:xfrm>
          <a:off x="119919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8</xdr:col>
      <xdr:colOff>438150</xdr:colOff>
      <xdr:row>7</xdr:row>
      <xdr:rowOff>104775</xdr:rowOff>
    </xdr:from>
    <xdr:ext cx="184731" cy="264560"/>
    <xdr:sp macro="" textlink="">
      <xdr:nvSpPr>
        <xdr:cNvPr id="81" name="TextBox 80"/>
        <xdr:cNvSpPr txBox="1"/>
      </xdr:nvSpPr>
      <xdr:spPr>
        <a:xfrm>
          <a:off x="126777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6</xdr:col>
      <xdr:colOff>438150</xdr:colOff>
      <xdr:row>7</xdr:row>
      <xdr:rowOff>104775</xdr:rowOff>
    </xdr:from>
    <xdr:ext cx="184731" cy="264560"/>
    <xdr:sp macro="" textlink="">
      <xdr:nvSpPr>
        <xdr:cNvPr id="82" name="TextBox 81"/>
        <xdr:cNvSpPr txBox="1"/>
      </xdr:nvSpPr>
      <xdr:spPr>
        <a:xfrm>
          <a:off x="113061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6</xdr:col>
      <xdr:colOff>438150</xdr:colOff>
      <xdr:row>7</xdr:row>
      <xdr:rowOff>104775</xdr:rowOff>
    </xdr:from>
    <xdr:ext cx="184731" cy="264560"/>
    <xdr:sp macro="" textlink="">
      <xdr:nvSpPr>
        <xdr:cNvPr id="83" name="TextBox 82"/>
        <xdr:cNvSpPr txBox="1"/>
      </xdr:nvSpPr>
      <xdr:spPr>
        <a:xfrm>
          <a:off x="113061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7</xdr:col>
      <xdr:colOff>438150</xdr:colOff>
      <xdr:row>7</xdr:row>
      <xdr:rowOff>104775</xdr:rowOff>
    </xdr:from>
    <xdr:ext cx="184731" cy="264560"/>
    <xdr:sp macro="" textlink="">
      <xdr:nvSpPr>
        <xdr:cNvPr id="84" name="TextBox 83"/>
        <xdr:cNvSpPr txBox="1"/>
      </xdr:nvSpPr>
      <xdr:spPr>
        <a:xfrm>
          <a:off x="119919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6</xdr:col>
      <xdr:colOff>438150</xdr:colOff>
      <xdr:row>7</xdr:row>
      <xdr:rowOff>104775</xdr:rowOff>
    </xdr:from>
    <xdr:ext cx="184731" cy="264560"/>
    <xdr:sp macro="" textlink="">
      <xdr:nvSpPr>
        <xdr:cNvPr id="85" name="TextBox 84"/>
        <xdr:cNvSpPr txBox="1"/>
      </xdr:nvSpPr>
      <xdr:spPr>
        <a:xfrm>
          <a:off x="113061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7</xdr:col>
      <xdr:colOff>438150</xdr:colOff>
      <xdr:row>7</xdr:row>
      <xdr:rowOff>104775</xdr:rowOff>
    </xdr:from>
    <xdr:ext cx="184731" cy="264560"/>
    <xdr:sp macro="" textlink="">
      <xdr:nvSpPr>
        <xdr:cNvPr id="86" name="TextBox 85"/>
        <xdr:cNvSpPr txBox="1"/>
      </xdr:nvSpPr>
      <xdr:spPr>
        <a:xfrm>
          <a:off x="119919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  <xdr:oneCellAnchor>
    <xdr:from>
      <xdr:col>8</xdr:col>
      <xdr:colOff>438150</xdr:colOff>
      <xdr:row>7</xdr:row>
      <xdr:rowOff>104775</xdr:rowOff>
    </xdr:from>
    <xdr:ext cx="184731" cy="264560"/>
    <xdr:sp macro="" textlink="">
      <xdr:nvSpPr>
        <xdr:cNvPr id="87" name="TextBox 86"/>
        <xdr:cNvSpPr txBox="1"/>
      </xdr:nvSpPr>
      <xdr:spPr>
        <a:xfrm>
          <a:off x="12677775" y="38766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wrap="none" rtlCol="0" anchor="t">
          <a:spAutoFit/>
        </a:bodyPr>
        <a:lstStyle/>
        <a:p>
          <a:endParaRPr lang="zh-CN" altLang="en-US" sz="1100"/>
        </a:p>
      </xdr:txBody>
    </xdr:sp>
    <xdr:clientData/>
  </xdr:oneCellAnchor>
</xdr:wsDr>
</file>

<file path=xl/theme/theme1.xml><?xml version="1.0" encoding="utf-8"?>
<a:theme xmlns:a="http://schemas.openxmlformats.org/drawingml/2006/main" name="Office 主题">
  <a:themeElements>
    <a:clrScheme name="穿越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oleObject" Target="../embeddings/oleObject1.bin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G56"/>
  <sheetViews>
    <sheetView tabSelected="1" workbookViewId="0">
      <selection activeCell="D27" sqref="D27"/>
    </sheetView>
  </sheetViews>
  <sheetFormatPr defaultRowHeight="13.5"/>
  <cols>
    <col min="1" max="1" width="24.375" customWidth="1"/>
    <col min="2" max="2" width="13.25" customWidth="1"/>
    <col min="3" max="3" width="10.375" customWidth="1"/>
    <col min="4" max="4" width="11.375" customWidth="1"/>
    <col min="5" max="5" width="12.25" customWidth="1"/>
    <col min="7" max="7" width="12.5" customWidth="1"/>
  </cols>
  <sheetData>
    <row r="1" spans="1:7">
      <c r="A1" s="65" t="s">
        <v>237</v>
      </c>
      <c r="B1" s="65"/>
      <c r="C1" s="65"/>
      <c r="D1" s="65"/>
      <c r="E1" s="65"/>
      <c r="F1" s="65"/>
      <c r="G1" s="65"/>
    </row>
    <row r="2" spans="1:7">
      <c r="E2">
        <v>2</v>
      </c>
      <c r="F2" t="s">
        <v>238</v>
      </c>
      <c r="G2" s="56"/>
    </row>
    <row r="3" spans="1:7">
      <c r="A3" t="s">
        <v>210</v>
      </c>
      <c r="B3" s="45">
        <v>300</v>
      </c>
    </row>
    <row r="4" spans="1:7">
      <c r="A4" t="s">
        <v>73</v>
      </c>
      <c r="B4" s="46" t="s">
        <v>272</v>
      </c>
      <c r="C4" t="s">
        <v>74</v>
      </c>
      <c r="D4" s="58" t="s">
        <v>273</v>
      </c>
    </row>
    <row r="5" spans="1:7">
      <c r="A5" s="49" t="s">
        <v>269</v>
      </c>
      <c r="B5" t="s">
        <v>239</v>
      </c>
      <c r="C5" s="45" t="s">
        <v>274</v>
      </c>
      <c r="D5" t="s">
        <v>240</v>
      </c>
      <c r="E5" s="46">
        <v>100</v>
      </c>
      <c r="F5" t="s">
        <v>105</v>
      </c>
      <c r="G5" s="56">
        <v>10</v>
      </c>
    </row>
    <row r="6" spans="1:7">
      <c r="A6" t="s">
        <v>241</v>
      </c>
    </row>
    <row r="7" spans="1:7">
      <c r="A7" s="50" t="s">
        <v>123</v>
      </c>
      <c r="B7" t="s">
        <v>242</v>
      </c>
      <c r="C7" s="48">
        <v>1000</v>
      </c>
      <c r="D7" t="s">
        <v>105</v>
      </c>
      <c r="E7" s="62"/>
    </row>
    <row r="8" spans="1:7" ht="14.25">
      <c r="A8" s="51" t="s">
        <v>270</v>
      </c>
      <c r="B8" t="s">
        <v>243</v>
      </c>
      <c r="C8" s="45">
        <v>120</v>
      </c>
      <c r="D8" t="s">
        <v>105</v>
      </c>
      <c r="E8" s="62"/>
    </row>
    <row r="9" spans="1:7" ht="14.25">
      <c r="A9" s="51" t="s">
        <v>271</v>
      </c>
      <c r="B9" t="s">
        <v>243</v>
      </c>
      <c r="C9" s="45">
        <v>240</v>
      </c>
      <c r="D9" t="s">
        <v>105</v>
      </c>
      <c r="E9" s="62">
        <v>150</v>
      </c>
    </row>
    <row r="10" spans="1:7">
      <c r="A10" t="s">
        <v>244</v>
      </c>
      <c r="E10" s="61"/>
    </row>
    <row r="11" spans="1:7" ht="14.25">
      <c r="A11" s="51" t="s">
        <v>271</v>
      </c>
      <c r="B11" t="s">
        <v>243</v>
      </c>
      <c r="C11" s="45">
        <v>25</v>
      </c>
      <c r="D11" t="s">
        <v>105</v>
      </c>
      <c r="E11" s="62">
        <v>40</v>
      </c>
    </row>
    <row r="12" spans="1:7" ht="18.75" customHeight="1">
      <c r="A12" s="59" t="s">
        <v>182</v>
      </c>
      <c r="B12" t="s">
        <v>243</v>
      </c>
      <c r="C12" s="45">
        <v>50</v>
      </c>
      <c r="D12" t="s">
        <v>105</v>
      </c>
      <c r="E12" s="62"/>
    </row>
    <row r="14" spans="1:7">
      <c r="A14" t="s">
        <v>245</v>
      </c>
    </row>
    <row r="15" spans="1:7">
      <c r="A15" t="s">
        <v>246</v>
      </c>
      <c r="B15" s="65" t="s">
        <v>247</v>
      </c>
      <c r="C15" s="65"/>
      <c r="D15" s="65" t="s">
        <v>194</v>
      </c>
      <c r="E15" s="65"/>
      <c r="F15" s="65" t="s">
        <v>248</v>
      </c>
      <c r="G15" s="65"/>
    </row>
    <row r="16" spans="1:7">
      <c r="A16" t="s">
        <v>249</v>
      </c>
      <c r="B16" s="66">
        <f>短路电流计算!H30</f>
        <v>18.342851754972553</v>
      </c>
      <c r="C16" s="66"/>
      <c r="D16" s="66">
        <f>短路电流计算!J30</f>
        <v>46.693277504066366</v>
      </c>
      <c r="E16" s="66"/>
      <c r="F16" s="66">
        <f>短路电流计算!L30</f>
        <v>17.801973372608174</v>
      </c>
      <c r="G16" s="66"/>
    </row>
    <row r="17" spans="1:7">
      <c r="A17" t="s">
        <v>250</v>
      </c>
      <c r="B17" s="66">
        <f ca="1">短路电流计算!H31</f>
        <v>16.939862561146668</v>
      </c>
      <c r="C17" s="66"/>
      <c r="D17" s="66">
        <f ca="1">短路电流计算!J31</f>
        <v>43.121850081677735</v>
      </c>
      <c r="E17" s="66"/>
      <c r="F17" s="66">
        <f ca="1">短路电流计算!L31</f>
        <v>15.077677798375142</v>
      </c>
      <c r="G17" s="66"/>
    </row>
    <row r="18" spans="1:7">
      <c r="A18" t="s">
        <v>251</v>
      </c>
      <c r="B18" s="66">
        <f ca="1">短路电流计算!H32</f>
        <v>8.0252812372177811</v>
      </c>
      <c r="C18" s="66"/>
      <c r="D18" s="66">
        <f ca="1">短路电流计算!J32</f>
        <v>14.754300037791234</v>
      </c>
      <c r="E18" s="66"/>
      <c r="F18" s="66">
        <f ca="1">短路电流计算!L32</f>
        <v>3.9031435637779506</v>
      </c>
      <c r="G18" s="66"/>
    </row>
    <row r="19" spans="1:7">
      <c r="A19" t="s">
        <v>252</v>
      </c>
      <c r="B19" s="66">
        <f ca="1">短路电流计算!H33</f>
        <v>4.0147844554366019</v>
      </c>
      <c r="C19" s="66"/>
      <c r="D19" s="66">
        <f ca="1">短路电流计算!J33</f>
        <v>7.3810914149480604</v>
      </c>
      <c r="E19" s="66"/>
      <c r="F19" s="66">
        <f ca="1">短路电流计算!L33</f>
        <v>1.5714386180846847</v>
      </c>
      <c r="G19" s="66"/>
    </row>
    <row r="21" spans="1:7">
      <c r="A21" t="s">
        <v>253</v>
      </c>
    </row>
    <row r="22" spans="1:7">
      <c r="A22" t="s">
        <v>254</v>
      </c>
      <c r="B22" s="67" t="s">
        <v>260</v>
      </c>
      <c r="C22" s="67"/>
      <c r="D22" t="s">
        <v>261</v>
      </c>
      <c r="E22" t="s">
        <v>255</v>
      </c>
      <c r="F22" t="s">
        <v>258</v>
      </c>
    </row>
    <row r="23" spans="1:7">
      <c r="A23" t="s">
        <v>256</v>
      </c>
      <c r="B23" s="68" t="str">
        <f>IF(E9&lt;&gt;0,A9,"不能校验")</f>
        <v>交联聚乙烯电力电缆（铜芯）</v>
      </c>
      <c r="C23" s="68"/>
      <c r="D23" s="48" t="s">
        <v>268</v>
      </c>
      <c r="E23" s="63">
        <f ca="1">热稳定校验1!E62</f>
        <v>25</v>
      </c>
      <c r="F23" s="64" t="str">
        <f ca="1">IF(E9=0,"",IF(E23&gt;C9,"不合格","合格"))</f>
        <v>合格</v>
      </c>
    </row>
    <row r="24" spans="1:7">
      <c r="A24" t="s">
        <v>257</v>
      </c>
      <c r="B24" s="68" t="str">
        <f>IF(E11&lt;&gt;0,A11,IF(E12&lt;&gt;0,A12,"无"))</f>
        <v>交联聚乙烯电力电缆（铜芯）</v>
      </c>
      <c r="C24" s="68"/>
      <c r="D24" s="48" t="s">
        <v>268</v>
      </c>
      <c r="E24" s="63">
        <f ca="1">热稳定校验2!E62</f>
        <v>16</v>
      </c>
      <c r="F24" s="64" t="str">
        <f ca="1">IF(E11&lt;&gt;0,IF(E24&gt;C11,"不合格","合格"),IF(E12&lt;&gt;0,IF(E24&gt;C12,"不合格","合格"),""))</f>
        <v>合格</v>
      </c>
    </row>
    <row r="26" spans="1:7">
      <c r="B26" s="19"/>
    </row>
    <row r="28" spans="1:7">
      <c r="A28" t="s">
        <v>265</v>
      </c>
    </row>
    <row r="29" spans="1:7">
      <c r="A29" t="s">
        <v>263</v>
      </c>
    </row>
    <row r="30" spans="1:7">
      <c r="A30" t="s">
        <v>264</v>
      </c>
    </row>
    <row r="31" spans="1:7">
      <c r="A31" t="s">
        <v>266</v>
      </c>
    </row>
    <row r="32" spans="1:7">
      <c r="A32" t="s">
        <v>267</v>
      </c>
    </row>
    <row r="37" spans="1:6">
      <c r="C37" s="63"/>
    </row>
    <row r="38" spans="1:6">
      <c r="A38" s="63"/>
    </row>
    <row r="43" spans="1:6">
      <c r="D43" s="37"/>
      <c r="F43" s="19"/>
    </row>
    <row r="44" spans="1:6">
      <c r="D44" s="19"/>
      <c r="F44" s="19"/>
    </row>
    <row r="45" spans="1:6">
      <c r="D45" s="37"/>
    </row>
    <row r="47" spans="1:6">
      <c r="D47" s="37"/>
      <c r="E47" s="37"/>
    </row>
    <row r="48" spans="1:6">
      <c r="D48" s="37"/>
      <c r="E48" s="37"/>
    </row>
    <row r="49" spans="4:7">
      <c r="D49" s="37"/>
      <c r="E49" s="37"/>
    </row>
    <row r="51" spans="4:7">
      <c r="D51" s="37"/>
      <c r="F51" s="37"/>
    </row>
    <row r="52" spans="4:7">
      <c r="G52" s="37"/>
    </row>
    <row r="56" spans="4:7">
      <c r="G56" s="37"/>
    </row>
  </sheetData>
  <mergeCells count="19">
    <mergeCell ref="B22:C22"/>
    <mergeCell ref="B23:C23"/>
    <mergeCell ref="B24:C24"/>
    <mergeCell ref="B18:C18"/>
    <mergeCell ref="D18:E18"/>
    <mergeCell ref="B19:C19"/>
    <mergeCell ref="D19:E19"/>
    <mergeCell ref="F19:G19"/>
    <mergeCell ref="B16:C16"/>
    <mergeCell ref="D16:E16"/>
    <mergeCell ref="F16:G16"/>
    <mergeCell ref="B17:C17"/>
    <mergeCell ref="D17:E17"/>
    <mergeCell ref="F17:G17"/>
    <mergeCell ref="D15:E15"/>
    <mergeCell ref="F15:G15"/>
    <mergeCell ref="B15:C15"/>
    <mergeCell ref="A1:G1"/>
    <mergeCell ref="F18:G18"/>
  </mergeCells>
  <phoneticPr fontId="1" type="noConversion"/>
  <conditionalFormatting sqref="E7:E9">
    <cfRule type="expression" dxfId="4" priority="15">
      <formula>(IF($E$7=0,0,1)+IF($E$8=0,0,1)+IF($E$9=0,0,1))&gt;1</formula>
    </cfRule>
  </conditionalFormatting>
  <conditionalFormatting sqref="F23">
    <cfRule type="expression" dxfId="3" priority="14">
      <formula>($F$23="不合格")</formula>
    </cfRule>
  </conditionalFormatting>
  <conditionalFormatting sqref="D4">
    <cfRule type="expression" dxfId="2" priority="6">
      <formula>(IF(AND(VALUE(MID($B$4,3,4))&lt;=500,VALUE(MID($D$4,4,1))=4),1,0)+IF(AND(VALUE(MID($B$4,3,4))=630,VALUE(MID($D$4,4,1))&lt;=6),1,0)+IF(AND(VALUE(MID($B$4,3,4))&gt;=800,VALUE(MID($D$4,4,1))&gt;=6),1,0)=0)</formula>
    </cfRule>
  </conditionalFormatting>
  <conditionalFormatting sqref="E11:E12">
    <cfRule type="expression" dxfId="1" priority="2">
      <formula>AND(E11&lt;&gt;0,E12&lt;&gt;0)</formula>
    </cfRule>
  </conditionalFormatting>
  <conditionalFormatting sqref="F24">
    <cfRule type="expression" dxfId="0" priority="1">
      <formula>(F24="不合格")</formula>
    </cfRule>
  </conditionalFormatting>
  <dataValidations count="14">
    <dataValidation type="list" allowBlank="1" showInputMessage="1" showErrorMessage="1" sqref="A5">
      <formula1>低压配电母线</formula1>
    </dataValidation>
    <dataValidation type="list" showInputMessage="1" showErrorMessage="1" sqref="B3">
      <formula1>高压侧短路容量</formula1>
    </dataValidation>
    <dataValidation type="list" allowBlank="1" showInputMessage="1" showErrorMessage="1" sqref="B4">
      <formula1>变压器容量</formula1>
    </dataValidation>
    <dataValidation type="list" allowBlank="1" showInputMessage="1" showErrorMessage="1" sqref="D4">
      <formula1>变压器阻抗2</formula1>
    </dataValidation>
    <dataValidation type="list" allowBlank="1" showInputMessage="1" showErrorMessage="1" sqref="C5">
      <formula1>母线规格</formula1>
    </dataValidation>
    <dataValidation type="list" allowBlank="1" showInputMessage="1" showErrorMessage="1" sqref="A7">
      <formula1>封闭母线</formula1>
    </dataValidation>
    <dataValidation type="list" allowBlank="1" showInputMessage="1" showErrorMessage="1" sqref="C7">
      <formula1>母线额定电流</formula1>
    </dataValidation>
    <dataValidation type="list" allowBlank="1" showInputMessage="1" showErrorMessage="1" sqref="A8">
      <formula1>多拼电缆</formula1>
    </dataValidation>
    <dataValidation type="list" allowBlank="1" showInputMessage="1" showErrorMessage="1" sqref="C8">
      <formula1>电缆面积</formula1>
    </dataValidation>
    <dataValidation type="list" allowBlank="1" showInputMessage="1" showErrorMessage="1" sqref="A9 A11">
      <formula1>电力电缆</formula1>
    </dataValidation>
    <dataValidation type="list" allowBlank="1" showInputMessage="1" showErrorMessage="1" sqref="C9 C11">
      <formula1>截面积</formula1>
    </dataValidation>
    <dataValidation type="list" allowBlank="1" showInputMessage="1" showErrorMessage="1" sqref="C12">
      <formula1>截面</formula1>
    </dataValidation>
    <dataValidation type="list" allowBlank="1" showInputMessage="1" showErrorMessage="1" sqref="E5">
      <formula1>母线相间距离</formula1>
    </dataValidation>
    <dataValidation type="list" allowBlank="1" showInputMessage="1" showErrorMessage="1" sqref="D23:D24">
      <formula1>时间</formula1>
    </dataValidation>
  </dataValidations>
  <pageMargins left="0.7" right="0.7" top="0.75" bottom="0.75" header="0.3" footer="0.3"/>
  <pageSetup paperSize="9" orientation="landscape" r:id="rId1"/>
  <legacyDrawing r:id="rId2"/>
  <oleObjects>
    <oleObject progId="AutoCAD.Drawing.16" shapeId="1025" r:id="rId3"/>
  </oleObjects>
</worksheet>
</file>

<file path=xl/worksheets/sheet10.xml><?xml version="1.0" encoding="utf-8"?>
<worksheet xmlns="http://schemas.openxmlformats.org/spreadsheetml/2006/main" xmlns:r="http://schemas.openxmlformats.org/officeDocument/2006/relationships">
  <dimension ref="A1:M42"/>
  <sheetViews>
    <sheetView workbookViewId="0">
      <selection activeCell="G25" sqref="G25"/>
    </sheetView>
  </sheetViews>
  <sheetFormatPr defaultRowHeight="13.5"/>
  <cols>
    <col min="1" max="1" width="12.5" style="29" customWidth="1"/>
    <col min="2" max="2" width="10.375" style="29" customWidth="1"/>
    <col min="3" max="3" width="9.375" style="29" customWidth="1"/>
    <col min="4" max="4" width="10.375" style="29" customWidth="1"/>
    <col min="5" max="5" width="12" style="29" customWidth="1"/>
    <col min="6" max="6" width="11.125" style="29" customWidth="1"/>
    <col min="7" max="7" width="9" style="29"/>
  </cols>
  <sheetData>
    <row r="1" spans="1:13" ht="20.100000000000001" customHeight="1">
      <c r="A1" s="80" t="s">
        <v>181</v>
      </c>
      <c r="B1" s="80"/>
      <c r="C1" s="80"/>
      <c r="D1" s="80"/>
      <c r="E1" s="80"/>
      <c r="F1" s="80"/>
      <c r="G1" s="80"/>
    </row>
    <row r="2" spans="1:13" ht="20.100000000000001" customHeight="1">
      <c r="A2" s="31" t="s">
        <v>174</v>
      </c>
      <c r="B2" s="31" t="s">
        <v>175</v>
      </c>
      <c r="C2" s="31" t="s">
        <v>176</v>
      </c>
      <c r="D2" s="31" t="s">
        <v>177</v>
      </c>
      <c r="E2" s="36" t="s">
        <v>178</v>
      </c>
      <c r="F2" s="31" t="s">
        <v>179</v>
      </c>
      <c r="G2" s="31" t="s">
        <v>180</v>
      </c>
      <c r="H2" s="29"/>
      <c r="L2" s="29"/>
      <c r="M2" s="29"/>
    </row>
    <row r="3" spans="1:13" ht="20.100000000000001" customHeight="1">
      <c r="A3" s="31">
        <v>1.5</v>
      </c>
      <c r="B3" s="31">
        <v>13.78</v>
      </c>
      <c r="C3" s="31">
        <v>27.56</v>
      </c>
      <c r="D3" s="31">
        <v>16.28</v>
      </c>
      <c r="E3" s="31">
        <v>0.14000000000000001</v>
      </c>
      <c r="F3" s="31">
        <v>0.32</v>
      </c>
      <c r="G3" s="31"/>
    </row>
    <row r="4" spans="1:13" ht="20.100000000000001" customHeight="1">
      <c r="A4" s="31">
        <v>2.5</v>
      </c>
      <c r="B4" s="31">
        <v>8.44</v>
      </c>
      <c r="C4" s="31">
        <v>16.88</v>
      </c>
      <c r="D4" s="31">
        <v>8.69</v>
      </c>
      <c r="E4" s="31">
        <v>0.13</v>
      </c>
      <c r="F4" s="30">
        <v>0.28999999999999998</v>
      </c>
      <c r="G4" s="31">
        <v>1.45</v>
      </c>
    </row>
    <row r="5" spans="1:13" ht="20.100000000000001" customHeight="1">
      <c r="A5" s="31">
        <v>4</v>
      </c>
      <c r="B5" s="31">
        <v>5.25</v>
      </c>
      <c r="C5" s="31">
        <v>10.5</v>
      </c>
      <c r="D5" s="31">
        <v>7.75</v>
      </c>
      <c r="E5" s="31">
        <v>0.12</v>
      </c>
      <c r="F5" s="31">
        <v>0.28000000000000003</v>
      </c>
      <c r="G5" s="31">
        <v>1.44</v>
      </c>
    </row>
    <row r="6" spans="1:13" ht="20.100000000000001" customHeight="1">
      <c r="A6" s="31">
        <v>6</v>
      </c>
      <c r="B6" s="31">
        <v>3.51</v>
      </c>
      <c r="C6" s="31">
        <v>7.02</v>
      </c>
      <c r="D6" s="31">
        <v>6.01</v>
      </c>
      <c r="E6" s="31">
        <v>0.11</v>
      </c>
      <c r="F6" s="31">
        <v>0.26</v>
      </c>
      <c r="G6" s="31">
        <v>1.43</v>
      </c>
    </row>
    <row r="7" spans="1:13" ht="20.100000000000001" customHeight="1">
      <c r="A7" s="31">
        <v>10</v>
      </c>
      <c r="B7" s="31">
        <v>2.08</v>
      </c>
      <c r="C7" s="31">
        <v>4.16</v>
      </c>
      <c r="D7" s="31">
        <v>3.58</v>
      </c>
      <c r="E7" s="31">
        <v>0.11</v>
      </c>
      <c r="F7" s="31">
        <v>0.26</v>
      </c>
      <c r="G7" s="31">
        <v>1.42</v>
      </c>
    </row>
    <row r="8" spans="1:13" ht="20.100000000000001" customHeight="1">
      <c r="A8" s="31">
        <v>16</v>
      </c>
      <c r="B8" s="31">
        <v>1.31</v>
      </c>
      <c r="C8" s="31">
        <v>2.62</v>
      </c>
      <c r="D8" s="31">
        <v>2.61</v>
      </c>
      <c r="E8" s="31">
        <v>0.1</v>
      </c>
      <c r="F8" s="31">
        <v>0.25</v>
      </c>
      <c r="G8" s="31">
        <v>1.22</v>
      </c>
    </row>
    <row r="9" spans="1:13" ht="20.100000000000001" customHeight="1">
      <c r="A9" s="31">
        <v>25</v>
      </c>
      <c r="B9" s="31">
        <v>0.82799999999999996</v>
      </c>
      <c r="C9" s="31">
        <v>1.6519999999999999</v>
      </c>
      <c r="D9" s="31">
        <v>1.728</v>
      </c>
      <c r="E9" s="31">
        <v>0.1</v>
      </c>
      <c r="F9" s="31">
        <v>0.23</v>
      </c>
      <c r="G9" s="31">
        <v>1.1100000000000001</v>
      </c>
    </row>
    <row r="10" spans="1:13" ht="20.100000000000001" customHeight="1">
      <c r="A10" s="31">
        <v>35</v>
      </c>
      <c r="B10" s="31">
        <v>0.59699999999999998</v>
      </c>
      <c r="C10" s="31">
        <v>1.194</v>
      </c>
      <c r="D10" s="31">
        <v>1.4970000000000001</v>
      </c>
      <c r="E10" s="31">
        <v>0.1</v>
      </c>
      <c r="F10" s="31">
        <v>0.24</v>
      </c>
      <c r="G10" s="31">
        <v>1</v>
      </c>
    </row>
    <row r="11" spans="1:13" ht="20.100000000000001" customHeight="1">
      <c r="A11" s="31">
        <v>50</v>
      </c>
      <c r="B11" s="31">
        <v>0.441</v>
      </c>
      <c r="C11" s="31">
        <v>0.88200000000000001</v>
      </c>
      <c r="D11" s="31">
        <v>1.2410000000000001</v>
      </c>
      <c r="E11" s="31">
        <v>0.09</v>
      </c>
      <c r="F11" s="31">
        <v>0.21</v>
      </c>
      <c r="G11" s="31">
        <v>0.9</v>
      </c>
    </row>
    <row r="12" spans="1:13" ht="20.100000000000001" customHeight="1">
      <c r="A12" s="31">
        <v>70</v>
      </c>
      <c r="B12" s="31">
        <v>0.30499999999999999</v>
      </c>
      <c r="C12" s="31">
        <v>0.61</v>
      </c>
      <c r="D12" s="31">
        <v>1.0049999999999999</v>
      </c>
      <c r="E12" s="31">
        <v>0.09</v>
      </c>
      <c r="F12" s="31">
        <v>0.22</v>
      </c>
      <c r="G12" s="31">
        <v>0.7</v>
      </c>
    </row>
    <row r="13" spans="1:13" ht="20.100000000000001" customHeight="1">
      <c r="A13" s="31">
        <v>95</v>
      </c>
      <c r="B13" s="31">
        <v>0.22</v>
      </c>
      <c r="C13" s="31">
        <v>0.44</v>
      </c>
      <c r="D13" s="31">
        <v>0.92</v>
      </c>
      <c r="E13" s="31">
        <v>0.09</v>
      </c>
      <c r="F13" s="31">
        <v>0.22</v>
      </c>
      <c r="G13" s="31">
        <v>0.7</v>
      </c>
    </row>
    <row r="14" spans="1:13" ht="20.100000000000001" customHeight="1">
      <c r="A14" s="31">
        <v>120</v>
      </c>
      <c r="B14" s="31">
        <v>0.17399999999999999</v>
      </c>
      <c r="C14" s="31">
        <v>0.34799999999999998</v>
      </c>
      <c r="D14" s="31">
        <v>0.874</v>
      </c>
      <c r="E14" s="31">
        <v>0.08</v>
      </c>
      <c r="F14" s="31">
        <v>0.21</v>
      </c>
      <c r="G14" s="31">
        <v>0.69</v>
      </c>
    </row>
    <row r="15" spans="1:13" ht="20.100000000000001" customHeight="1">
      <c r="A15" s="31">
        <v>150</v>
      </c>
      <c r="B15" s="31">
        <v>0.14099999999999999</v>
      </c>
      <c r="C15" s="31">
        <v>0.28199999999999997</v>
      </c>
      <c r="D15" s="31">
        <v>0.84099999999999997</v>
      </c>
      <c r="E15" s="31">
        <v>0.08</v>
      </c>
      <c r="F15" s="31">
        <v>0.21</v>
      </c>
      <c r="G15" s="31">
        <v>0.69</v>
      </c>
    </row>
    <row r="16" spans="1:13" ht="20.100000000000001" customHeight="1">
      <c r="A16" s="31">
        <v>185</v>
      </c>
      <c r="B16" s="31">
        <v>0.113</v>
      </c>
      <c r="C16" s="31">
        <v>0.22600000000000001</v>
      </c>
      <c r="D16" s="31">
        <v>0.81299999999999994</v>
      </c>
      <c r="E16" s="31">
        <v>0.08</v>
      </c>
      <c r="F16" s="31">
        <v>0.2</v>
      </c>
      <c r="G16" s="31">
        <v>0.68</v>
      </c>
    </row>
    <row r="17" spans="9:9" ht="20.100000000000001" customHeight="1"/>
    <row r="18" spans="9:9" ht="20.100000000000001" customHeight="1"/>
    <row r="19" spans="9:9" ht="20.100000000000001" customHeight="1"/>
    <row r="20" spans="9:9" ht="20.100000000000001" customHeight="1"/>
    <row r="21" spans="9:9" ht="20.100000000000001" customHeight="1"/>
    <row r="22" spans="9:9" ht="20.100000000000001" customHeight="1"/>
    <row r="23" spans="9:9" ht="20.100000000000001" customHeight="1">
      <c r="I23" s="37" t="s">
        <v>183</v>
      </c>
    </row>
    <row r="24" spans="9:9" ht="20.100000000000001" customHeight="1"/>
    <row r="25" spans="9:9" ht="20.100000000000001" customHeight="1"/>
    <row r="26" spans="9:9" ht="20.100000000000001" customHeight="1"/>
    <row r="27" spans="9:9" ht="20.100000000000001" customHeight="1"/>
    <row r="28" spans="9:9" ht="20.100000000000001" customHeight="1"/>
    <row r="29" spans="9:9" ht="20.100000000000001" customHeight="1"/>
    <row r="30" spans="9:9" ht="20.100000000000001" customHeight="1"/>
    <row r="31" spans="9:9" ht="20.100000000000001" customHeight="1"/>
    <row r="32" spans="9:9" ht="20.100000000000001" customHeight="1"/>
    <row r="33" ht="20.100000000000001" customHeight="1"/>
    <row r="34" ht="20.100000000000001" customHeight="1"/>
    <row r="35" ht="20.100000000000001" customHeight="1"/>
    <row r="36" ht="20.100000000000001" customHeight="1"/>
    <row r="37" ht="20.100000000000001" customHeight="1"/>
    <row r="38" ht="20.100000000000001" customHeight="1"/>
    <row r="39" ht="20.100000000000001" customHeight="1"/>
    <row r="40" ht="20.100000000000001" customHeight="1"/>
    <row r="41" ht="20.100000000000001" customHeight="1"/>
    <row r="42" ht="20.100000000000001" customHeight="1"/>
  </sheetData>
  <sheetProtection password="CE28" sheet="1" objects="1" scenarios="1"/>
  <mergeCells count="1">
    <mergeCell ref="A1:G1"/>
  </mergeCells>
  <phoneticPr fontId="1" type="noConversion"/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>
  <dimension ref="A1:I21"/>
  <sheetViews>
    <sheetView workbookViewId="0">
      <selection activeCell="I11" sqref="I11"/>
    </sheetView>
  </sheetViews>
  <sheetFormatPr defaultRowHeight="13.5"/>
  <cols>
    <col min="1" max="1" width="25.75" style="40" customWidth="1"/>
    <col min="2" max="8" width="9" style="40"/>
    <col min="9" max="9" width="10" style="40" customWidth="1"/>
  </cols>
  <sheetData>
    <row r="1" spans="1:9" ht="18.75">
      <c r="A1" s="71" t="s">
        <v>209</v>
      </c>
      <c r="B1" s="71"/>
      <c r="C1" s="71"/>
      <c r="D1" s="71"/>
      <c r="E1" s="71"/>
      <c r="F1" s="71"/>
      <c r="G1" s="71"/>
      <c r="H1" s="71"/>
      <c r="I1" s="71"/>
    </row>
    <row r="2" spans="1:9" ht="18.75">
      <c r="A2" s="41" t="s">
        <v>203</v>
      </c>
      <c r="B2" s="41">
        <v>30</v>
      </c>
      <c r="C2" s="41">
        <v>50</v>
      </c>
      <c r="D2" s="41">
        <v>75</v>
      </c>
      <c r="E2" s="41">
        <v>100</v>
      </c>
      <c r="F2" s="41">
        <v>200</v>
      </c>
      <c r="G2" s="41">
        <v>300</v>
      </c>
      <c r="H2" s="41">
        <v>500</v>
      </c>
      <c r="I2" s="44">
        <v>9.0000000000000005E+307</v>
      </c>
    </row>
    <row r="3" spans="1:9" ht="21.75">
      <c r="A3" s="41" t="s">
        <v>204</v>
      </c>
      <c r="B3" s="41">
        <v>5.33</v>
      </c>
      <c r="C3" s="41">
        <v>3.2</v>
      </c>
      <c r="D3" s="41">
        <v>2.13</v>
      </c>
      <c r="E3" s="41">
        <v>1.6</v>
      </c>
      <c r="F3" s="41">
        <v>0.8</v>
      </c>
      <c r="G3" s="41">
        <v>0.53300000000000003</v>
      </c>
      <c r="H3" s="42">
        <v>0.32</v>
      </c>
      <c r="I3" s="42">
        <v>0</v>
      </c>
    </row>
    <row r="4" spans="1:9" ht="21.75">
      <c r="A4" s="41" t="s">
        <v>205</v>
      </c>
      <c r="B4" s="41">
        <v>0.53</v>
      </c>
      <c r="C4" s="41">
        <v>0.32</v>
      </c>
      <c r="D4" s="41">
        <v>0.21299999999999999</v>
      </c>
      <c r="E4" s="41">
        <v>0.16</v>
      </c>
      <c r="F4" s="41">
        <v>0.08</v>
      </c>
      <c r="G4" s="41">
        <v>5.2999999999999999E-2</v>
      </c>
      <c r="H4" s="42">
        <v>3.2000000000000001E-2</v>
      </c>
      <c r="I4" s="42">
        <v>0</v>
      </c>
    </row>
    <row r="5" spans="1:9" ht="21.75">
      <c r="A5" s="41" t="s">
        <v>206</v>
      </c>
      <c r="B5" s="41">
        <v>5.3</v>
      </c>
      <c r="C5" s="41">
        <v>3.18</v>
      </c>
      <c r="D5" s="41">
        <v>2.12</v>
      </c>
      <c r="E5" s="41">
        <v>1.59</v>
      </c>
      <c r="F5" s="41">
        <v>0.79600000000000004</v>
      </c>
      <c r="G5" s="41">
        <v>0.53</v>
      </c>
      <c r="H5" s="42">
        <v>0.318</v>
      </c>
      <c r="I5" s="42">
        <v>0</v>
      </c>
    </row>
    <row r="6" spans="1:9" ht="21.75">
      <c r="A6" s="41" t="s">
        <v>207</v>
      </c>
      <c r="B6" s="41">
        <v>0.35</v>
      </c>
      <c r="C6" s="41">
        <v>0.21</v>
      </c>
      <c r="D6" s="41">
        <v>0.14000000000000001</v>
      </c>
      <c r="E6" s="41">
        <v>0.11</v>
      </c>
      <c r="F6" s="41">
        <v>5.2999999999999999E-2</v>
      </c>
      <c r="G6" s="41">
        <v>3.5000000000000003E-2</v>
      </c>
      <c r="H6" s="42">
        <v>2.1000000000000001E-2</v>
      </c>
      <c r="I6" s="42">
        <v>0</v>
      </c>
    </row>
    <row r="7" spans="1:9" ht="21.75">
      <c r="A7" s="41" t="s">
        <v>208</v>
      </c>
      <c r="B7" s="41">
        <v>3.53</v>
      </c>
      <c r="C7" s="41">
        <v>2.12</v>
      </c>
      <c r="D7" s="41">
        <v>1.1399999999999999</v>
      </c>
      <c r="E7" s="41">
        <v>1.06</v>
      </c>
      <c r="F7" s="41">
        <v>0.53</v>
      </c>
      <c r="G7" s="41">
        <v>0.35</v>
      </c>
      <c r="H7" s="42">
        <v>0.21</v>
      </c>
      <c r="I7" s="42">
        <v>0</v>
      </c>
    </row>
    <row r="8" spans="1:9" ht="18.75">
      <c r="A8" s="13"/>
      <c r="B8" s="13"/>
      <c r="C8" s="13"/>
      <c r="D8" s="13"/>
      <c r="E8" s="13"/>
      <c r="F8" s="13"/>
      <c r="G8" s="13"/>
    </row>
    <row r="9" spans="1:9" ht="18.75">
      <c r="A9" s="13"/>
      <c r="B9" s="13"/>
      <c r="C9" s="13"/>
      <c r="D9" s="13"/>
      <c r="E9" s="13"/>
      <c r="F9" s="13"/>
      <c r="G9" s="13"/>
    </row>
    <row r="10" spans="1:9" ht="18.75">
      <c r="A10" s="13"/>
      <c r="B10" s="13"/>
      <c r="C10" s="13"/>
      <c r="D10" s="13"/>
      <c r="E10" s="13"/>
      <c r="F10" s="13"/>
      <c r="G10" s="13"/>
    </row>
    <row r="11" spans="1:9" ht="18.75">
      <c r="A11" s="13"/>
      <c r="B11" s="13"/>
      <c r="C11" s="13"/>
      <c r="D11" s="13"/>
      <c r="E11" s="13"/>
      <c r="F11" s="13"/>
      <c r="G11" s="13"/>
    </row>
    <row r="12" spans="1:9" ht="18.75">
      <c r="A12" s="13"/>
      <c r="B12" s="13"/>
      <c r="C12" s="13"/>
      <c r="D12" s="13"/>
      <c r="E12" s="13"/>
      <c r="F12" s="13"/>
      <c r="G12" s="13"/>
    </row>
    <row r="13" spans="1:9" ht="18.75">
      <c r="A13" s="13"/>
      <c r="B13" s="13"/>
      <c r="C13" s="13"/>
      <c r="D13" s="13"/>
      <c r="E13" s="13"/>
      <c r="F13" s="13"/>
      <c r="G13" s="13"/>
    </row>
    <row r="14" spans="1:9" ht="18.75">
      <c r="A14" s="13"/>
      <c r="B14" s="13"/>
      <c r="C14" s="13"/>
      <c r="D14" s="13"/>
      <c r="E14" s="13"/>
      <c r="F14" s="13"/>
      <c r="G14" s="13"/>
    </row>
    <row r="15" spans="1:9" ht="18.75">
      <c r="A15" s="13"/>
      <c r="B15" s="13"/>
      <c r="C15" s="13"/>
      <c r="D15" s="13"/>
      <c r="E15" s="13"/>
      <c r="F15" s="13"/>
      <c r="G15" s="13"/>
    </row>
    <row r="16" spans="1:9" ht="18.75">
      <c r="A16" s="13"/>
      <c r="B16" s="13"/>
      <c r="C16" s="13"/>
      <c r="D16" s="13"/>
      <c r="E16" s="13"/>
      <c r="F16" s="13"/>
      <c r="G16" s="13"/>
    </row>
    <row r="17" spans="1:7" ht="18.75">
      <c r="A17" s="13"/>
      <c r="B17" s="13"/>
      <c r="C17" s="13"/>
      <c r="D17" s="13"/>
      <c r="E17" s="13"/>
      <c r="F17" s="13"/>
      <c r="G17" s="13"/>
    </row>
    <row r="18" spans="1:7" ht="18.75">
      <c r="A18" s="13"/>
      <c r="B18" s="13"/>
      <c r="C18" s="13"/>
      <c r="D18" s="13"/>
      <c r="E18" s="13"/>
      <c r="F18" s="13"/>
      <c r="G18" s="13"/>
    </row>
    <row r="19" spans="1:7" ht="18.75">
      <c r="A19" s="13"/>
      <c r="B19" s="13"/>
      <c r="C19" s="13"/>
      <c r="D19" s="13"/>
      <c r="E19" s="13"/>
      <c r="F19" s="13"/>
      <c r="G19" s="13"/>
    </row>
    <row r="20" spans="1:7" ht="18.75">
      <c r="A20" s="13"/>
      <c r="B20" s="13"/>
      <c r="C20" s="13"/>
      <c r="D20" s="13"/>
      <c r="E20" s="13"/>
      <c r="F20" s="13"/>
      <c r="G20" s="13"/>
    </row>
    <row r="21" spans="1:7" ht="18.75">
      <c r="A21" s="13"/>
      <c r="B21" s="13"/>
      <c r="C21" s="13"/>
      <c r="D21" s="13"/>
      <c r="E21" s="13"/>
      <c r="F21" s="13"/>
      <c r="G21" s="13"/>
    </row>
  </sheetData>
  <sheetProtection password="CE28" sheet="1" objects="1" scenarios="1"/>
  <mergeCells count="1">
    <mergeCell ref="A1:I1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O62"/>
  <sheetViews>
    <sheetView topLeftCell="A31" workbookViewId="0">
      <selection activeCell="E72" sqref="E72"/>
    </sheetView>
  </sheetViews>
  <sheetFormatPr defaultRowHeight="13.5"/>
  <sheetData>
    <row r="1" spans="1:14">
      <c r="A1" s="65" t="s">
        <v>218</v>
      </c>
      <c r="B1" s="65"/>
      <c r="C1" s="65"/>
      <c r="D1" s="65"/>
      <c r="E1" s="65"/>
      <c r="F1" s="65"/>
      <c r="G1" s="65"/>
    </row>
    <row r="2" spans="1:14">
      <c r="A2" s="65" t="s">
        <v>219</v>
      </c>
      <c r="B2" s="65" t="s">
        <v>220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4">
      <c r="A3" s="65"/>
      <c r="B3">
        <v>6</v>
      </c>
      <c r="C3">
        <v>10</v>
      </c>
      <c r="D3">
        <v>16</v>
      </c>
      <c r="E3">
        <v>25</v>
      </c>
      <c r="F3">
        <v>35</v>
      </c>
      <c r="G3">
        <v>50</v>
      </c>
      <c r="H3">
        <v>70</v>
      </c>
      <c r="I3">
        <v>95</v>
      </c>
      <c r="J3">
        <v>120</v>
      </c>
      <c r="K3">
        <v>150</v>
      </c>
      <c r="L3">
        <v>185</v>
      </c>
      <c r="M3">
        <v>240</v>
      </c>
    </row>
    <row r="4" spans="1:14">
      <c r="A4">
        <v>0.1</v>
      </c>
      <c r="B4">
        <v>2.69</v>
      </c>
      <c r="C4">
        <v>4.49</v>
      </c>
      <c r="D4">
        <v>7.18</v>
      </c>
      <c r="E4">
        <v>11.23</v>
      </c>
      <c r="F4">
        <v>15.72</v>
      </c>
      <c r="G4">
        <v>22.45</v>
      </c>
      <c r="H4">
        <v>31.43</v>
      </c>
      <c r="I4">
        <v>42.66</v>
      </c>
      <c r="J4">
        <v>53.89</v>
      </c>
      <c r="K4">
        <v>67.36</v>
      </c>
      <c r="L4">
        <v>83.07</v>
      </c>
      <c r="M4">
        <v>107.77</v>
      </c>
      <c r="N4">
        <f ca="1">$K$57</f>
        <v>8.0252812372177811</v>
      </c>
    </row>
    <row r="5" spans="1:14">
      <c r="A5">
        <v>0.2</v>
      </c>
      <c r="B5">
        <v>1.91</v>
      </c>
      <c r="C5">
        <v>3.18</v>
      </c>
      <c r="D5">
        <v>5.08</v>
      </c>
      <c r="E5">
        <v>7.94</v>
      </c>
      <c r="F5">
        <v>11.11</v>
      </c>
      <c r="G5">
        <v>15.88</v>
      </c>
      <c r="H5">
        <v>22.23</v>
      </c>
      <c r="I5">
        <v>30.16</v>
      </c>
      <c r="J5">
        <v>38.1</v>
      </c>
      <c r="K5">
        <v>47.63</v>
      </c>
      <c r="L5">
        <v>58.74</v>
      </c>
      <c r="M5">
        <v>76.209999999999994</v>
      </c>
      <c r="N5">
        <f t="shared" ref="N5:N7" ca="1" si="0">$K$57</f>
        <v>8.0252812372177811</v>
      </c>
    </row>
    <row r="6" spans="1:14">
      <c r="A6">
        <v>0.4</v>
      </c>
      <c r="B6">
        <v>1.35</v>
      </c>
      <c r="C6">
        <v>2.25</v>
      </c>
      <c r="D6">
        <v>3.59</v>
      </c>
      <c r="E6">
        <v>5.61</v>
      </c>
      <c r="F6">
        <v>7.86</v>
      </c>
      <c r="G6">
        <v>11.23</v>
      </c>
      <c r="H6">
        <v>15.72</v>
      </c>
      <c r="I6">
        <v>21.33</v>
      </c>
      <c r="J6">
        <v>26.94</v>
      </c>
      <c r="K6">
        <v>33.68</v>
      </c>
      <c r="L6">
        <v>41.54</v>
      </c>
      <c r="M6">
        <v>53.89</v>
      </c>
      <c r="N6">
        <f t="shared" ca="1" si="0"/>
        <v>8.0252812372177811</v>
      </c>
    </row>
    <row r="7" spans="1:14">
      <c r="A7">
        <v>0.6</v>
      </c>
      <c r="B7">
        <v>1.1000000000000001</v>
      </c>
      <c r="C7">
        <v>1.83</v>
      </c>
      <c r="D7">
        <v>2.93</v>
      </c>
      <c r="E7">
        <v>4.58</v>
      </c>
      <c r="F7">
        <v>6.42</v>
      </c>
      <c r="G7">
        <v>9.17</v>
      </c>
      <c r="H7">
        <v>12.83</v>
      </c>
      <c r="I7">
        <v>17.420000000000002</v>
      </c>
      <c r="J7">
        <v>22</v>
      </c>
      <c r="K7">
        <v>27.5</v>
      </c>
      <c r="L7">
        <v>33.909999999999997</v>
      </c>
      <c r="M7">
        <v>44</v>
      </c>
      <c r="N7">
        <f t="shared" ca="1" si="0"/>
        <v>8.0252812372177811</v>
      </c>
    </row>
    <row r="11" spans="1:14">
      <c r="A11" s="65" t="s">
        <v>221</v>
      </c>
      <c r="B11" s="65"/>
      <c r="C11" s="65"/>
      <c r="D11" s="65"/>
      <c r="E11" s="65"/>
      <c r="F11" s="65"/>
      <c r="G11" s="65"/>
    </row>
    <row r="12" spans="1:14">
      <c r="A12" s="65" t="s">
        <v>219</v>
      </c>
      <c r="B12" s="65" t="s">
        <v>220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4">
      <c r="A13" s="65"/>
      <c r="B13">
        <v>6</v>
      </c>
      <c r="C13">
        <v>10</v>
      </c>
      <c r="D13">
        <v>16</v>
      </c>
      <c r="E13">
        <v>25</v>
      </c>
      <c r="F13">
        <v>35</v>
      </c>
      <c r="G13">
        <v>50</v>
      </c>
      <c r="H13">
        <v>70</v>
      </c>
      <c r="I13">
        <v>95</v>
      </c>
      <c r="J13">
        <v>120</v>
      </c>
      <c r="K13">
        <v>150</v>
      </c>
      <c r="L13">
        <v>185</v>
      </c>
      <c r="M13">
        <v>240</v>
      </c>
    </row>
    <row r="14" spans="1:14">
      <c r="A14">
        <v>0.1</v>
      </c>
      <c r="B14">
        <v>2.1800000000000002</v>
      </c>
      <c r="C14">
        <v>3.64</v>
      </c>
      <c r="D14">
        <v>5.82</v>
      </c>
      <c r="E14">
        <v>9.09</v>
      </c>
      <c r="F14">
        <v>12.73</v>
      </c>
      <c r="G14">
        <v>18.18</v>
      </c>
      <c r="H14">
        <v>25.46</v>
      </c>
      <c r="I14">
        <v>34.549999999999997</v>
      </c>
      <c r="J14">
        <v>43.64</v>
      </c>
      <c r="K14">
        <v>54.55</v>
      </c>
      <c r="L14">
        <v>67.28</v>
      </c>
      <c r="M14">
        <v>87.28</v>
      </c>
      <c r="N14">
        <f t="shared" ref="N14:N17" ca="1" si="1">$K$57</f>
        <v>8.0252812372177811</v>
      </c>
    </row>
    <row r="15" spans="1:14">
      <c r="A15">
        <v>0.2</v>
      </c>
      <c r="B15">
        <v>1.54</v>
      </c>
      <c r="C15">
        <v>2.57</v>
      </c>
      <c r="D15">
        <v>4.1100000000000003</v>
      </c>
      <c r="E15">
        <v>6.43</v>
      </c>
      <c r="F15">
        <v>9</v>
      </c>
      <c r="G15">
        <v>12.86</v>
      </c>
      <c r="H15">
        <v>18</v>
      </c>
      <c r="I15">
        <v>24.43</v>
      </c>
      <c r="J15">
        <v>30.86</v>
      </c>
      <c r="K15">
        <v>38.57</v>
      </c>
      <c r="L15">
        <v>47.57</v>
      </c>
      <c r="M15">
        <v>61.72</v>
      </c>
      <c r="N15">
        <f t="shared" ca="1" si="1"/>
        <v>8.0252812372177811</v>
      </c>
    </row>
    <row r="16" spans="1:14">
      <c r="A16">
        <v>0.4</v>
      </c>
      <c r="B16">
        <v>1.0900000000000001</v>
      </c>
      <c r="C16">
        <v>1.82</v>
      </c>
      <c r="D16">
        <v>2.91</v>
      </c>
      <c r="E16">
        <v>4.55</v>
      </c>
      <c r="F16">
        <v>6.36</v>
      </c>
      <c r="G16">
        <v>9.09</v>
      </c>
      <c r="H16">
        <v>12.73</v>
      </c>
      <c r="I16">
        <v>17.27</v>
      </c>
      <c r="J16">
        <v>21.82</v>
      </c>
      <c r="K16">
        <v>27.27</v>
      </c>
      <c r="L16">
        <v>33.64</v>
      </c>
      <c r="M16">
        <v>43.64</v>
      </c>
      <c r="N16">
        <f t="shared" ca="1" si="1"/>
        <v>8.0252812372177811</v>
      </c>
    </row>
    <row r="17" spans="1:15">
      <c r="A17">
        <v>0.6</v>
      </c>
      <c r="B17">
        <v>0.89</v>
      </c>
      <c r="C17">
        <v>1.48</v>
      </c>
      <c r="D17">
        <v>2.38</v>
      </c>
      <c r="E17">
        <v>3.71</v>
      </c>
      <c r="F17">
        <v>5.2</v>
      </c>
      <c r="G17">
        <v>7.42</v>
      </c>
      <c r="H17">
        <v>10.39</v>
      </c>
      <c r="I17">
        <v>14.1</v>
      </c>
      <c r="J17">
        <v>17.82</v>
      </c>
      <c r="K17">
        <v>22.27</v>
      </c>
      <c r="L17">
        <v>27.47</v>
      </c>
      <c r="M17">
        <v>35.630000000000003</v>
      </c>
      <c r="N17">
        <f t="shared" ca="1" si="1"/>
        <v>8.0252812372177811</v>
      </c>
    </row>
    <row r="21" spans="1:15">
      <c r="A21" s="65" t="s">
        <v>222</v>
      </c>
      <c r="B21" s="65"/>
      <c r="C21" s="65"/>
      <c r="D21" s="65"/>
      <c r="E21" s="65"/>
      <c r="F21" s="65"/>
      <c r="G21" s="65"/>
    </row>
    <row r="22" spans="1:15">
      <c r="A22" s="65" t="s">
        <v>219</v>
      </c>
      <c r="B22" s="65" t="s">
        <v>220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</row>
    <row r="23" spans="1:15">
      <c r="A23" s="65"/>
      <c r="B23">
        <v>6</v>
      </c>
      <c r="C23">
        <v>10</v>
      </c>
      <c r="D23">
        <v>16</v>
      </c>
      <c r="E23">
        <v>25</v>
      </c>
      <c r="F23">
        <v>35</v>
      </c>
      <c r="G23">
        <v>50</v>
      </c>
      <c r="H23">
        <v>70</v>
      </c>
      <c r="I23">
        <v>95</v>
      </c>
      <c r="J23">
        <v>120</v>
      </c>
      <c r="K23">
        <v>150</v>
      </c>
      <c r="L23">
        <v>185</v>
      </c>
      <c r="M23">
        <v>240</v>
      </c>
      <c r="O23" t="s">
        <v>223</v>
      </c>
    </row>
    <row r="24" spans="1:15">
      <c r="A24">
        <v>0.1</v>
      </c>
      <c r="B24">
        <v>1.8</v>
      </c>
      <c r="C24">
        <v>3</v>
      </c>
      <c r="D24">
        <v>4.8099999999999996</v>
      </c>
      <c r="E24">
        <v>7.51</v>
      </c>
      <c r="F24">
        <v>10.51</v>
      </c>
      <c r="G24">
        <v>15.02</v>
      </c>
      <c r="H24">
        <v>21.03</v>
      </c>
      <c r="I24">
        <v>28.54</v>
      </c>
      <c r="J24">
        <v>36.049999999999997</v>
      </c>
      <c r="K24">
        <v>45.06</v>
      </c>
      <c r="L24">
        <v>55.58</v>
      </c>
      <c r="M24">
        <v>72.099999999999994</v>
      </c>
      <c r="N24">
        <f t="shared" ref="N24:N27" ca="1" si="2">$K$57</f>
        <v>8.0252812372177811</v>
      </c>
      <c r="O24" t="s">
        <v>224</v>
      </c>
    </row>
    <row r="25" spans="1:15">
      <c r="A25">
        <v>0.2</v>
      </c>
      <c r="B25">
        <v>1.27</v>
      </c>
      <c r="C25">
        <v>2.12</v>
      </c>
      <c r="D25">
        <v>3.4</v>
      </c>
      <c r="E25">
        <v>5.31</v>
      </c>
      <c r="F25">
        <v>7.43</v>
      </c>
      <c r="G25">
        <v>10.62</v>
      </c>
      <c r="H25">
        <v>14.87</v>
      </c>
      <c r="I25">
        <v>20.18</v>
      </c>
      <c r="J25">
        <v>25.49</v>
      </c>
      <c r="K25">
        <v>31.86</v>
      </c>
      <c r="L25">
        <v>39.299999999999997</v>
      </c>
      <c r="M25">
        <v>50.89</v>
      </c>
      <c r="N25">
        <f t="shared" ca="1" si="2"/>
        <v>8.0252812372177811</v>
      </c>
      <c r="O25" t="s">
        <v>225</v>
      </c>
    </row>
    <row r="26" spans="1:15">
      <c r="A26">
        <v>0.4</v>
      </c>
      <c r="B26">
        <v>0.9</v>
      </c>
      <c r="C26">
        <v>1.5</v>
      </c>
      <c r="D26">
        <v>2.4</v>
      </c>
      <c r="E26">
        <v>3.76</v>
      </c>
      <c r="F26">
        <v>5.26</v>
      </c>
      <c r="G26">
        <v>7.51</v>
      </c>
      <c r="H26">
        <v>10.51</v>
      </c>
      <c r="I26">
        <v>14.27</v>
      </c>
      <c r="J26">
        <v>18.02</v>
      </c>
      <c r="K26">
        <v>22.53</v>
      </c>
      <c r="L26">
        <v>27.79</v>
      </c>
      <c r="M26">
        <v>36.049999999999997</v>
      </c>
      <c r="N26">
        <f t="shared" ca="1" si="2"/>
        <v>8.0252812372177811</v>
      </c>
      <c r="O26" t="s">
        <v>226</v>
      </c>
    </row>
    <row r="27" spans="1:15">
      <c r="A27">
        <v>0.6</v>
      </c>
      <c r="B27">
        <v>0.74</v>
      </c>
      <c r="C27">
        <v>1.23</v>
      </c>
      <c r="D27">
        <v>1.96</v>
      </c>
      <c r="E27">
        <v>3.07</v>
      </c>
      <c r="F27">
        <v>4.29</v>
      </c>
      <c r="G27">
        <v>6.13</v>
      </c>
      <c r="H27">
        <v>8.59</v>
      </c>
      <c r="I27">
        <v>11.65</v>
      </c>
      <c r="J27">
        <v>14.72</v>
      </c>
      <c r="K27">
        <v>18.399999999999999</v>
      </c>
      <c r="L27">
        <v>22.69</v>
      </c>
      <c r="M27">
        <v>29.43</v>
      </c>
      <c r="N27">
        <f t="shared" ca="1" si="2"/>
        <v>8.0252812372177811</v>
      </c>
      <c r="O27" t="s">
        <v>227</v>
      </c>
    </row>
    <row r="31" spans="1:15">
      <c r="A31" s="65" t="s">
        <v>228</v>
      </c>
      <c r="B31" s="65"/>
      <c r="C31" s="65"/>
      <c r="D31" s="65"/>
      <c r="E31" s="65"/>
      <c r="F31" s="65"/>
      <c r="G31" s="65"/>
    </row>
    <row r="32" spans="1:15">
      <c r="A32" s="65" t="s">
        <v>219</v>
      </c>
      <c r="B32" s="65" t="s">
        <v>220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O32" t="s">
        <v>229</v>
      </c>
    </row>
    <row r="33" spans="1:15">
      <c r="A33" s="65"/>
      <c r="B33">
        <v>6</v>
      </c>
      <c r="C33">
        <v>10</v>
      </c>
      <c r="D33">
        <v>16</v>
      </c>
      <c r="E33">
        <v>25</v>
      </c>
      <c r="F33">
        <v>35</v>
      </c>
      <c r="G33">
        <v>50</v>
      </c>
      <c r="H33">
        <v>70</v>
      </c>
      <c r="I33">
        <v>95</v>
      </c>
      <c r="J33">
        <v>120</v>
      </c>
      <c r="K33">
        <v>150</v>
      </c>
      <c r="L33">
        <v>185</v>
      </c>
      <c r="M33">
        <v>240</v>
      </c>
      <c r="O33" t="s">
        <v>230</v>
      </c>
    </row>
    <row r="34" spans="1:15">
      <c r="A34">
        <v>0.1</v>
      </c>
      <c r="B34">
        <v>1.44</v>
      </c>
      <c r="C34">
        <v>2.4</v>
      </c>
      <c r="D34">
        <v>3.85</v>
      </c>
      <c r="E34">
        <v>6.01</v>
      </c>
      <c r="F34">
        <v>8.41</v>
      </c>
      <c r="G34">
        <v>12.02</v>
      </c>
      <c r="H34">
        <v>16.82</v>
      </c>
      <c r="I34">
        <v>22.83</v>
      </c>
      <c r="J34">
        <v>28.84</v>
      </c>
      <c r="K34">
        <v>36.049999999999997</v>
      </c>
      <c r="L34">
        <v>44.46</v>
      </c>
      <c r="M34">
        <v>57.68</v>
      </c>
      <c r="N34">
        <f t="shared" ref="N34:N37" ca="1" si="3">$K$57</f>
        <v>8.0252812372177811</v>
      </c>
      <c r="O34" t="s">
        <v>231</v>
      </c>
    </row>
    <row r="35" spans="1:15">
      <c r="A35">
        <v>0.2</v>
      </c>
      <c r="B35">
        <v>1.02</v>
      </c>
      <c r="C35">
        <v>1.7</v>
      </c>
      <c r="D35">
        <v>2.72</v>
      </c>
      <c r="E35">
        <v>4.25</v>
      </c>
      <c r="F35">
        <v>5.95</v>
      </c>
      <c r="G35">
        <v>8.5</v>
      </c>
      <c r="H35">
        <v>11.9</v>
      </c>
      <c r="I35">
        <v>16.14</v>
      </c>
      <c r="J35">
        <v>20.39</v>
      </c>
      <c r="K35">
        <v>25.49</v>
      </c>
      <c r="L35">
        <v>31.44</v>
      </c>
      <c r="M35">
        <v>40.79</v>
      </c>
      <c r="N35">
        <f t="shared" ca="1" si="3"/>
        <v>8.0252812372177811</v>
      </c>
      <c r="O35" t="s">
        <v>232</v>
      </c>
    </row>
    <row r="36" spans="1:15">
      <c r="A36">
        <v>0.4</v>
      </c>
      <c r="B36">
        <v>0.72</v>
      </c>
      <c r="C36">
        <v>1.2</v>
      </c>
      <c r="D36">
        <v>1.92</v>
      </c>
      <c r="E36">
        <v>3</v>
      </c>
      <c r="F36">
        <v>4.21</v>
      </c>
      <c r="G36">
        <v>6.01</v>
      </c>
      <c r="H36">
        <v>8.41</v>
      </c>
      <c r="I36">
        <v>11.42</v>
      </c>
      <c r="J36">
        <v>14.42</v>
      </c>
      <c r="K36">
        <v>18.02</v>
      </c>
      <c r="L36">
        <v>22.23</v>
      </c>
      <c r="M36">
        <v>28.84</v>
      </c>
      <c r="N36">
        <f t="shared" ca="1" si="3"/>
        <v>8.0252812372177811</v>
      </c>
    </row>
    <row r="37" spans="1:15">
      <c r="A37">
        <v>0.6</v>
      </c>
      <c r="B37">
        <v>0.59</v>
      </c>
      <c r="C37">
        <v>0.98</v>
      </c>
      <c r="D37">
        <v>1.57</v>
      </c>
      <c r="E37">
        <v>2.4500000000000002</v>
      </c>
      <c r="F37">
        <v>3.43</v>
      </c>
      <c r="G37">
        <v>4.91</v>
      </c>
      <c r="H37">
        <v>6.87</v>
      </c>
      <c r="I37">
        <v>9.32</v>
      </c>
      <c r="J37">
        <v>11.77</v>
      </c>
      <c r="K37">
        <v>14.72</v>
      </c>
      <c r="L37">
        <v>18.149999999999999</v>
      </c>
      <c r="M37">
        <v>23.55</v>
      </c>
      <c r="N37">
        <f t="shared" ca="1" si="3"/>
        <v>8.0252812372177811</v>
      </c>
    </row>
    <row r="41" spans="1:15">
      <c r="A41" s="65" t="s">
        <v>233</v>
      </c>
      <c r="B41" s="65"/>
      <c r="C41" s="65"/>
      <c r="D41" s="65"/>
      <c r="E41" s="65"/>
      <c r="F41" s="65"/>
      <c r="G41" s="65"/>
    </row>
    <row r="42" spans="1:15">
      <c r="A42" s="65" t="s">
        <v>219</v>
      </c>
      <c r="B42" s="65" t="s">
        <v>220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</row>
    <row r="43" spans="1:15">
      <c r="A43" s="65"/>
      <c r="B43">
        <v>6</v>
      </c>
      <c r="C43">
        <v>10</v>
      </c>
      <c r="D43">
        <v>16</v>
      </c>
      <c r="E43">
        <v>25</v>
      </c>
      <c r="F43">
        <v>35</v>
      </c>
      <c r="G43">
        <v>50</v>
      </c>
      <c r="H43">
        <v>70</v>
      </c>
      <c r="I43">
        <v>95</v>
      </c>
      <c r="J43">
        <v>120</v>
      </c>
      <c r="K43">
        <v>150</v>
      </c>
      <c r="L43">
        <v>185</v>
      </c>
      <c r="M43">
        <v>240</v>
      </c>
    </row>
    <row r="44" spans="1:15">
      <c r="A44">
        <v>0.1</v>
      </c>
      <c r="B44">
        <v>2.16</v>
      </c>
      <c r="C44">
        <v>3.6</v>
      </c>
      <c r="D44">
        <v>5.77</v>
      </c>
      <c r="E44">
        <v>9.01</v>
      </c>
      <c r="F44">
        <v>12.62</v>
      </c>
      <c r="G44">
        <v>18.02</v>
      </c>
      <c r="H44">
        <v>25.23</v>
      </c>
      <c r="I44">
        <v>34.25</v>
      </c>
      <c r="J44">
        <v>43.26</v>
      </c>
      <c r="K44">
        <v>54.07</v>
      </c>
      <c r="L44">
        <v>66.69</v>
      </c>
      <c r="M44">
        <v>86.52</v>
      </c>
      <c r="N44">
        <f t="shared" ref="N44:N47" ca="1" si="4">$K$57</f>
        <v>8.0252812372177811</v>
      </c>
    </row>
    <row r="45" spans="1:15">
      <c r="A45">
        <v>0.2</v>
      </c>
      <c r="B45">
        <v>1.53</v>
      </c>
      <c r="C45">
        <v>2.5499999999999998</v>
      </c>
      <c r="D45">
        <v>4.08</v>
      </c>
      <c r="E45">
        <v>6.37</v>
      </c>
      <c r="F45">
        <v>8.92</v>
      </c>
      <c r="G45">
        <v>12.75</v>
      </c>
      <c r="H45">
        <v>17.84</v>
      </c>
      <c r="I45">
        <v>24.22</v>
      </c>
      <c r="J45">
        <v>30.59</v>
      </c>
      <c r="K45">
        <v>38.24</v>
      </c>
      <c r="L45">
        <v>47.16</v>
      </c>
      <c r="M45">
        <v>61.18</v>
      </c>
      <c r="N45">
        <f t="shared" ca="1" si="4"/>
        <v>8.0252812372177811</v>
      </c>
    </row>
    <row r="46" spans="1:15">
      <c r="A46">
        <v>0.4</v>
      </c>
      <c r="B46">
        <v>1.08</v>
      </c>
      <c r="C46">
        <v>1.8</v>
      </c>
      <c r="D46">
        <v>2.88</v>
      </c>
      <c r="E46">
        <v>4.51</v>
      </c>
      <c r="F46">
        <v>6.31</v>
      </c>
      <c r="G46">
        <v>9.01</v>
      </c>
      <c r="H46">
        <v>12.62</v>
      </c>
      <c r="I46">
        <v>17.12</v>
      </c>
      <c r="J46">
        <v>21.63</v>
      </c>
      <c r="K46">
        <v>27.04</v>
      </c>
      <c r="L46">
        <v>33.35</v>
      </c>
      <c r="M46">
        <v>43.26</v>
      </c>
      <c r="N46">
        <f t="shared" ca="1" si="4"/>
        <v>8.0252812372177811</v>
      </c>
    </row>
    <row r="47" spans="1:15">
      <c r="A47">
        <v>0.6</v>
      </c>
      <c r="B47">
        <v>0.88</v>
      </c>
      <c r="C47">
        <v>1.47</v>
      </c>
      <c r="D47">
        <v>2.35</v>
      </c>
      <c r="E47">
        <v>3.68</v>
      </c>
      <c r="F47">
        <v>5.15</v>
      </c>
      <c r="G47">
        <v>7.36</v>
      </c>
      <c r="H47">
        <v>10.3</v>
      </c>
      <c r="I47">
        <v>13.98</v>
      </c>
      <c r="J47">
        <v>17.66</v>
      </c>
      <c r="K47">
        <v>22.08</v>
      </c>
      <c r="L47">
        <v>27.23</v>
      </c>
      <c r="M47">
        <v>35.32</v>
      </c>
      <c r="N47">
        <f t="shared" ca="1" si="4"/>
        <v>8.0252812372177811</v>
      </c>
    </row>
    <row r="57" spans="5:11">
      <c r="E57" s="58" t="str">
        <f>短路电流计算及热稳定校验!B23</f>
        <v>交联聚乙烯电力电缆（铜芯）</v>
      </c>
      <c r="I57" s="58" t="str">
        <f>短路电流计算及热稳定校验!D23</f>
        <v>0.1s</v>
      </c>
      <c r="K57" s="54">
        <f ca="1">短路电流计算及热稳定校验!B18</f>
        <v>8.0252812372177811</v>
      </c>
    </row>
    <row r="60" spans="5:11">
      <c r="E60" s="55">
        <f ca="1">RANK(OFFSET(IF(E57="交联聚乙烯电缆(铜芯)",A4,IF(E57="聚氯乙烯电缆(铜芯)",A14,IF(E57="交联聚乙烯电缆(铝芯)",A24,IF(E57="聚氯乙烯电缆(铝芯)",A34,A44)))),IF(I57="0.1s",0,IF(I57="0.2s",1,IF(I57="0.4s",2,3))),13,1,1),OFFSET(IF(E57="交联聚乙烯电缆(铜芯)",A4,IF(E57="聚氯乙烯电缆(铜芯)",A14,IF(E57="交联聚乙烯电缆(铝芯)",A24,IF(E57="聚氯乙烯电缆(铝芯)",A34,A44)))),IF(I57="0.1s",0,IF(I57="0.2s",1,IF(I57="0.4s",2,3))),1,1,13),1)</f>
        <v>4</v>
      </c>
    </row>
    <row r="62" spans="5:11">
      <c r="E62" s="56">
        <f ca="1">IF(E60=1,6,IF(E60=2,10,IF(E60=3,16,IF(E60=4,25,IF(E60=5,35,IF(E60=6,50,IF(E60=7,70,IF(E60=8,95,IF(E60=9,120,IF(E60=10,150,IF(E60=11,185,IF(E60=12,240,"出错超240"))))))))))))</f>
        <v>25</v>
      </c>
    </row>
  </sheetData>
  <sheetProtection password="CE28" sheet="1" objects="1" scenarios="1"/>
  <mergeCells count="15">
    <mergeCell ref="A1:G1"/>
    <mergeCell ref="A2:A3"/>
    <mergeCell ref="B2:M2"/>
    <mergeCell ref="A11:G11"/>
    <mergeCell ref="A12:A13"/>
    <mergeCell ref="B12:M12"/>
    <mergeCell ref="A41:G41"/>
    <mergeCell ref="A42:A43"/>
    <mergeCell ref="B42:M42"/>
    <mergeCell ref="A21:G21"/>
    <mergeCell ref="A22:A23"/>
    <mergeCell ref="B22:M22"/>
    <mergeCell ref="A31:G31"/>
    <mergeCell ref="A32:A33"/>
    <mergeCell ref="B32:M32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:O62"/>
  <sheetViews>
    <sheetView topLeftCell="A31" workbookViewId="0">
      <selection activeCell="E60" sqref="E60"/>
    </sheetView>
  </sheetViews>
  <sheetFormatPr defaultRowHeight="13.5"/>
  <sheetData>
    <row r="1" spans="1:14">
      <c r="A1" s="65" t="s">
        <v>218</v>
      </c>
      <c r="B1" s="65"/>
      <c r="C1" s="65"/>
      <c r="D1" s="65"/>
      <c r="E1" s="65"/>
      <c r="F1" s="65"/>
      <c r="G1" s="65"/>
    </row>
    <row r="2" spans="1:14">
      <c r="A2" s="65" t="s">
        <v>219</v>
      </c>
      <c r="B2" s="65" t="s">
        <v>220</v>
      </c>
      <c r="C2" s="65"/>
      <c r="D2" s="65"/>
      <c r="E2" s="65"/>
      <c r="F2" s="65"/>
      <c r="G2" s="65"/>
      <c r="H2" s="65"/>
      <c r="I2" s="65"/>
      <c r="J2" s="65"/>
      <c r="K2" s="65"/>
      <c r="L2" s="65"/>
      <c r="M2" s="65"/>
    </row>
    <row r="3" spans="1:14">
      <c r="A3" s="65"/>
      <c r="B3">
        <v>6</v>
      </c>
      <c r="C3">
        <v>10</v>
      </c>
      <c r="D3">
        <v>16</v>
      </c>
      <c r="E3">
        <v>25</v>
      </c>
      <c r="F3">
        <v>35</v>
      </c>
      <c r="G3">
        <v>50</v>
      </c>
      <c r="H3">
        <v>70</v>
      </c>
      <c r="I3">
        <v>95</v>
      </c>
      <c r="J3">
        <v>120</v>
      </c>
      <c r="K3">
        <v>150</v>
      </c>
      <c r="L3">
        <v>185</v>
      </c>
      <c r="M3">
        <v>240</v>
      </c>
    </row>
    <row r="4" spans="1:14">
      <c r="A4">
        <v>0.1</v>
      </c>
      <c r="B4">
        <v>2.69</v>
      </c>
      <c r="C4">
        <v>4.49</v>
      </c>
      <c r="D4">
        <v>7.18</v>
      </c>
      <c r="E4">
        <v>11.23</v>
      </c>
      <c r="F4">
        <v>15.72</v>
      </c>
      <c r="G4">
        <v>22.45</v>
      </c>
      <c r="H4">
        <v>31.43</v>
      </c>
      <c r="I4">
        <v>42.66</v>
      </c>
      <c r="J4">
        <v>53.89</v>
      </c>
      <c r="K4">
        <v>67.36</v>
      </c>
      <c r="L4">
        <v>83.07</v>
      </c>
      <c r="M4">
        <v>107.77</v>
      </c>
      <c r="N4">
        <f ca="1">$K$57</f>
        <v>4.0147844554366019</v>
      </c>
    </row>
    <row r="5" spans="1:14">
      <c r="A5">
        <v>0.2</v>
      </c>
      <c r="B5">
        <v>1.91</v>
      </c>
      <c r="C5">
        <v>3.18</v>
      </c>
      <c r="D5">
        <v>5.08</v>
      </c>
      <c r="E5">
        <v>7.94</v>
      </c>
      <c r="F5">
        <v>11.11</v>
      </c>
      <c r="G5">
        <v>15.88</v>
      </c>
      <c r="H5">
        <v>22.23</v>
      </c>
      <c r="I5">
        <v>30.16</v>
      </c>
      <c r="J5">
        <v>38.1</v>
      </c>
      <c r="K5">
        <v>47.63</v>
      </c>
      <c r="L5">
        <v>58.74</v>
      </c>
      <c r="M5">
        <v>76.209999999999994</v>
      </c>
      <c r="N5">
        <f t="shared" ref="N5:N7" ca="1" si="0">$K$57</f>
        <v>4.0147844554366019</v>
      </c>
    </row>
    <row r="6" spans="1:14">
      <c r="A6">
        <v>0.4</v>
      </c>
      <c r="B6">
        <v>1.35</v>
      </c>
      <c r="C6">
        <v>2.25</v>
      </c>
      <c r="D6">
        <v>3.59</v>
      </c>
      <c r="E6">
        <v>5.61</v>
      </c>
      <c r="F6">
        <v>7.86</v>
      </c>
      <c r="G6">
        <v>11.23</v>
      </c>
      <c r="H6">
        <v>15.72</v>
      </c>
      <c r="I6">
        <v>21.33</v>
      </c>
      <c r="J6">
        <v>26.94</v>
      </c>
      <c r="K6">
        <v>33.68</v>
      </c>
      <c r="L6">
        <v>41.54</v>
      </c>
      <c r="M6">
        <v>53.89</v>
      </c>
      <c r="N6">
        <f t="shared" ca="1" si="0"/>
        <v>4.0147844554366019</v>
      </c>
    </row>
    <row r="7" spans="1:14">
      <c r="A7">
        <v>0.6</v>
      </c>
      <c r="B7">
        <v>1.1000000000000001</v>
      </c>
      <c r="C7">
        <v>1.83</v>
      </c>
      <c r="D7">
        <v>2.93</v>
      </c>
      <c r="E7">
        <v>4.58</v>
      </c>
      <c r="F7">
        <v>6.42</v>
      </c>
      <c r="G7">
        <v>9.17</v>
      </c>
      <c r="H7">
        <v>12.83</v>
      </c>
      <c r="I7">
        <v>17.420000000000002</v>
      </c>
      <c r="J7">
        <v>22</v>
      </c>
      <c r="K7">
        <v>27.5</v>
      </c>
      <c r="L7">
        <v>33.909999999999997</v>
      </c>
      <c r="M7">
        <v>44</v>
      </c>
      <c r="N7">
        <f t="shared" ca="1" si="0"/>
        <v>4.0147844554366019</v>
      </c>
    </row>
    <row r="11" spans="1:14">
      <c r="A11" s="65" t="s">
        <v>221</v>
      </c>
      <c r="B11" s="65"/>
      <c r="C11" s="65"/>
      <c r="D11" s="65"/>
      <c r="E11" s="65"/>
      <c r="F11" s="65"/>
      <c r="G11" s="65"/>
    </row>
    <row r="12" spans="1:14">
      <c r="A12" s="65" t="s">
        <v>219</v>
      </c>
      <c r="B12" s="65" t="s">
        <v>220</v>
      </c>
      <c r="C12" s="65"/>
      <c r="D12" s="65"/>
      <c r="E12" s="65"/>
      <c r="F12" s="65"/>
      <c r="G12" s="65"/>
      <c r="H12" s="65"/>
      <c r="I12" s="65"/>
      <c r="J12" s="65"/>
      <c r="K12" s="65"/>
      <c r="L12" s="65"/>
      <c r="M12" s="65"/>
    </row>
    <row r="13" spans="1:14">
      <c r="A13" s="65"/>
      <c r="B13">
        <v>6</v>
      </c>
      <c r="C13">
        <v>10</v>
      </c>
      <c r="D13">
        <v>16</v>
      </c>
      <c r="E13">
        <v>25</v>
      </c>
      <c r="F13">
        <v>35</v>
      </c>
      <c r="G13">
        <v>50</v>
      </c>
      <c r="H13">
        <v>70</v>
      </c>
      <c r="I13">
        <v>95</v>
      </c>
      <c r="J13">
        <v>120</v>
      </c>
      <c r="K13">
        <v>150</v>
      </c>
      <c r="L13">
        <v>185</v>
      </c>
      <c r="M13">
        <v>240</v>
      </c>
    </row>
    <row r="14" spans="1:14">
      <c r="A14">
        <v>0.1</v>
      </c>
      <c r="B14">
        <v>2.1800000000000002</v>
      </c>
      <c r="C14">
        <v>3.64</v>
      </c>
      <c r="D14">
        <v>5.82</v>
      </c>
      <c r="E14">
        <v>9.09</v>
      </c>
      <c r="F14">
        <v>12.73</v>
      </c>
      <c r="G14">
        <v>18.18</v>
      </c>
      <c r="H14">
        <v>25.46</v>
      </c>
      <c r="I14">
        <v>34.549999999999997</v>
      </c>
      <c r="J14">
        <v>43.64</v>
      </c>
      <c r="K14">
        <v>54.55</v>
      </c>
      <c r="L14">
        <v>67.28</v>
      </c>
      <c r="M14">
        <v>87.28</v>
      </c>
      <c r="N14">
        <f t="shared" ref="N14:N17" ca="1" si="1">$K$57</f>
        <v>4.0147844554366019</v>
      </c>
    </row>
    <row r="15" spans="1:14">
      <c r="A15">
        <v>0.2</v>
      </c>
      <c r="B15">
        <v>1.54</v>
      </c>
      <c r="C15">
        <v>2.57</v>
      </c>
      <c r="D15">
        <v>4.1100000000000003</v>
      </c>
      <c r="E15">
        <v>6.43</v>
      </c>
      <c r="F15">
        <v>9</v>
      </c>
      <c r="G15">
        <v>12.86</v>
      </c>
      <c r="H15">
        <v>18</v>
      </c>
      <c r="I15">
        <v>24.43</v>
      </c>
      <c r="J15">
        <v>30.86</v>
      </c>
      <c r="K15">
        <v>38.57</v>
      </c>
      <c r="L15">
        <v>47.57</v>
      </c>
      <c r="M15">
        <v>61.72</v>
      </c>
      <c r="N15">
        <f t="shared" ca="1" si="1"/>
        <v>4.0147844554366019</v>
      </c>
    </row>
    <row r="16" spans="1:14">
      <c r="A16">
        <v>0.4</v>
      </c>
      <c r="B16">
        <v>1.0900000000000001</v>
      </c>
      <c r="C16">
        <v>1.82</v>
      </c>
      <c r="D16">
        <v>2.91</v>
      </c>
      <c r="E16">
        <v>4.55</v>
      </c>
      <c r="F16">
        <v>6.36</v>
      </c>
      <c r="G16">
        <v>9.09</v>
      </c>
      <c r="H16">
        <v>12.73</v>
      </c>
      <c r="I16">
        <v>17.27</v>
      </c>
      <c r="J16">
        <v>21.82</v>
      </c>
      <c r="K16">
        <v>27.27</v>
      </c>
      <c r="L16">
        <v>33.64</v>
      </c>
      <c r="M16">
        <v>43.64</v>
      </c>
      <c r="N16">
        <f t="shared" ca="1" si="1"/>
        <v>4.0147844554366019</v>
      </c>
    </row>
    <row r="17" spans="1:15">
      <c r="A17">
        <v>0.6</v>
      </c>
      <c r="B17">
        <v>0.89</v>
      </c>
      <c r="C17">
        <v>1.48</v>
      </c>
      <c r="D17">
        <v>2.38</v>
      </c>
      <c r="E17">
        <v>3.71</v>
      </c>
      <c r="F17">
        <v>5.2</v>
      </c>
      <c r="G17">
        <v>7.42</v>
      </c>
      <c r="H17">
        <v>10.39</v>
      </c>
      <c r="I17">
        <v>14.1</v>
      </c>
      <c r="J17">
        <v>17.82</v>
      </c>
      <c r="K17">
        <v>22.27</v>
      </c>
      <c r="L17">
        <v>27.47</v>
      </c>
      <c r="M17">
        <v>35.630000000000003</v>
      </c>
      <c r="N17">
        <f t="shared" ca="1" si="1"/>
        <v>4.0147844554366019</v>
      </c>
    </row>
    <row r="21" spans="1:15">
      <c r="A21" s="65" t="s">
        <v>222</v>
      </c>
      <c r="B21" s="65"/>
      <c r="C21" s="65"/>
      <c r="D21" s="65"/>
      <c r="E21" s="65"/>
      <c r="F21" s="65"/>
      <c r="G21" s="65"/>
    </row>
    <row r="22" spans="1:15">
      <c r="A22" s="65" t="s">
        <v>219</v>
      </c>
      <c r="B22" s="65" t="s">
        <v>220</v>
      </c>
      <c r="C22" s="65"/>
      <c r="D22" s="65"/>
      <c r="E22" s="65"/>
      <c r="F22" s="65"/>
      <c r="G22" s="65"/>
      <c r="H22" s="65"/>
      <c r="I22" s="65"/>
      <c r="J22" s="65"/>
      <c r="K22" s="65"/>
      <c r="L22" s="65"/>
      <c r="M22" s="65"/>
    </row>
    <row r="23" spans="1:15">
      <c r="A23" s="65"/>
      <c r="B23">
        <v>6</v>
      </c>
      <c r="C23">
        <v>10</v>
      </c>
      <c r="D23">
        <v>16</v>
      </c>
      <c r="E23">
        <v>25</v>
      </c>
      <c r="F23">
        <v>35</v>
      </c>
      <c r="G23">
        <v>50</v>
      </c>
      <c r="H23">
        <v>70</v>
      </c>
      <c r="I23">
        <v>95</v>
      </c>
      <c r="J23">
        <v>120</v>
      </c>
      <c r="K23">
        <v>150</v>
      </c>
      <c r="L23">
        <v>185</v>
      </c>
      <c r="M23">
        <v>240</v>
      </c>
      <c r="O23" t="s">
        <v>223</v>
      </c>
    </row>
    <row r="24" spans="1:15">
      <c r="A24">
        <v>0.1</v>
      </c>
      <c r="B24">
        <v>1.8</v>
      </c>
      <c r="C24">
        <v>3</v>
      </c>
      <c r="D24">
        <v>4.8099999999999996</v>
      </c>
      <c r="E24">
        <v>7.51</v>
      </c>
      <c r="F24">
        <v>10.51</v>
      </c>
      <c r="G24">
        <v>15.02</v>
      </c>
      <c r="H24">
        <v>21.03</v>
      </c>
      <c r="I24">
        <v>28.54</v>
      </c>
      <c r="J24">
        <v>36.049999999999997</v>
      </c>
      <c r="K24">
        <v>45.06</v>
      </c>
      <c r="L24">
        <v>55.58</v>
      </c>
      <c r="M24">
        <v>72.099999999999994</v>
      </c>
      <c r="N24">
        <f t="shared" ref="N24:N27" ca="1" si="2">$K$57</f>
        <v>4.0147844554366019</v>
      </c>
      <c r="O24" t="s">
        <v>224</v>
      </c>
    </row>
    <row r="25" spans="1:15">
      <c r="A25">
        <v>0.2</v>
      </c>
      <c r="B25">
        <v>1.27</v>
      </c>
      <c r="C25">
        <v>2.12</v>
      </c>
      <c r="D25">
        <v>3.4</v>
      </c>
      <c r="E25">
        <v>5.31</v>
      </c>
      <c r="F25">
        <v>7.43</v>
      </c>
      <c r="G25">
        <v>10.62</v>
      </c>
      <c r="H25">
        <v>14.87</v>
      </c>
      <c r="I25">
        <v>20.18</v>
      </c>
      <c r="J25">
        <v>25.49</v>
      </c>
      <c r="K25">
        <v>31.86</v>
      </c>
      <c r="L25">
        <v>39.299999999999997</v>
      </c>
      <c r="M25">
        <v>50.89</v>
      </c>
      <c r="N25">
        <f t="shared" ca="1" si="2"/>
        <v>4.0147844554366019</v>
      </c>
      <c r="O25" t="s">
        <v>225</v>
      </c>
    </row>
    <row r="26" spans="1:15">
      <c r="A26">
        <v>0.4</v>
      </c>
      <c r="B26">
        <v>0.9</v>
      </c>
      <c r="C26">
        <v>1.5</v>
      </c>
      <c r="D26">
        <v>2.4</v>
      </c>
      <c r="E26">
        <v>3.76</v>
      </c>
      <c r="F26">
        <v>5.26</v>
      </c>
      <c r="G26">
        <v>7.51</v>
      </c>
      <c r="H26">
        <v>10.51</v>
      </c>
      <c r="I26">
        <v>14.27</v>
      </c>
      <c r="J26">
        <v>18.02</v>
      </c>
      <c r="K26">
        <v>22.53</v>
      </c>
      <c r="L26">
        <v>27.79</v>
      </c>
      <c r="M26">
        <v>36.049999999999997</v>
      </c>
      <c r="N26">
        <f t="shared" ca="1" si="2"/>
        <v>4.0147844554366019</v>
      </c>
      <c r="O26" t="s">
        <v>226</v>
      </c>
    </row>
    <row r="27" spans="1:15">
      <c r="A27">
        <v>0.6</v>
      </c>
      <c r="B27">
        <v>0.74</v>
      </c>
      <c r="C27">
        <v>1.23</v>
      </c>
      <c r="D27">
        <v>1.96</v>
      </c>
      <c r="E27">
        <v>3.07</v>
      </c>
      <c r="F27">
        <v>4.29</v>
      </c>
      <c r="G27">
        <v>6.13</v>
      </c>
      <c r="H27">
        <v>8.59</v>
      </c>
      <c r="I27">
        <v>11.65</v>
      </c>
      <c r="J27">
        <v>14.72</v>
      </c>
      <c r="K27">
        <v>18.399999999999999</v>
      </c>
      <c r="L27">
        <v>22.69</v>
      </c>
      <c r="M27">
        <v>29.43</v>
      </c>
      <c r="N27">
        <f t="shared" ca="1" si="2"/>
        <v>4.0147844554366019</v>
      </c>
      <c r="O27" t="s">
        <v>227</v>
      </c>
    </row>
    <row r="31" spans="1:15">
      <c r="A31" s="65" t="s">
        <v>228</v>
      </c>
      <c r="B31" s="65"/>
      <c r="C31" s="65"/>
      <c r="D31" s="65"/>
      <c r="E31" s="65"/>
      <c r="F31" s="65"/>
      <c r="G31" s="65"/>
    </row>
    <row r="32" spans="1:15">
      <c r="A32" s="65" t="s">
        <v>219</v>
      </c>
      <c r="B32" s="65" t="s">
        <v>220</v>
      </c>
      <c r="C32" s="65"/>
      <c r="D32" s="65"/>
      <c r="E32" s="65"/>
      <c r="F32" s="65"/>
      <c r="G32" s="65"/>
      <c r="H32" s="65"/>
      <c r="I32" s="65"/>
      <c r="J32" s="65"/>
      <c r="K32" s="65"/>
      <c r="L32" s="65"/>
      <c r="M32" s="65"/>
      <c r="O32" t="s">
        <v>229</v>
      </c>
    </row>
    <row r="33" spans="1:15">
      <c r="A33" s="65"/>
      <c r="B33">
        <v>6</v>
      </c>
      <c r="C33">
        <v>10</v>
      </c>
      <c r="D33">
        <v>16</v>
      </c>
      <c r="E33">
        <v>25</v>
      </c>
      <c r="F33">
        <v>35</v>
      </c>
      <c r="G33">
        <v>50</v>
      </c>
      <c r="H33">
        <v>70</v>
      </c>
      <c r="I33">
        <v>95</v>
      </c>
      <c r="J33">
        <v>120</v>
      </c>
      <c r="K33">
        <v>150</v>
      </c>
      <c r="L33">
        <v>185</v>
      </c>
      <c r="M33">
        <v>240</v>
      </c>
      <c r="O33" t="s">
        <v>230</v>
      </c>
    </row>
    <row r="34" spans="1:15">
      <c r="A34">
        <v>0.1</v>
      </c>
      <c r="B34">
        <v>1.44</v>
      </c>
      <c r="C34">
        <v>2.4</v>
      </c>
      <c r="D34">
        <v>3.85</v>
      </c>
      <c r="E34">
        <v>6.01</v>
      </c>
      <c r="F34">
        <v>8.41</v>
      </c>
      <c r="G34">
        <v>12.02</v>
      </c>
      <c r="H34">
        <v>16.82</v>
      </c>
      <c r="I34">
        <v>22.83</v>
      </c>
      <c r="J34">
        <v>28.84</v>
      </c>
      <c r="K34">
        <v>36.049999999999997</v>
      </c>
      <c r="L34">
        <v>44.46</v>
      </c>
      <c r="M34">
        <v>57.68</v>
      </c>
      <c r="N34">
        <f t="shared" ref="N34:N37" ca="1" si="3">$K$57</f>
        <v>4.0147844554366019</v>
      </c>
      <c r="O34" t="s">
        <v>231</v>
      </c>
    </row>
    <row r="35" spans="1:15">
      <c r="A35">
        <v>0.2</v>
      </c>
      <c r="B35">
        <v>1.02</v>
      </c>
      <c r="C35">
        <v>1.7</v>
      </c>
      <c r="D35">
        <v>2.72</v>
      </c>
      <c r="E35">
        <v>4.25</v>
      </c>
      <c r="F35">
        <v>5.95</v>
      </c>
      <c r="G35">
        <v>8.5</v>
      </c>
      <c r="H35">
        <v>11.9</v>
      </c>
      <c r="I35">
        <v>16.14</v>
      </c>
      <c r="J35">
        <v>20.39</v>
      </c>
      <c r="K35">
        <v>25.49</v>
      </c>
      <c r="L35">
        <v>31.44</v>
      </c>
      <c r="M35">
        <v>40.79</v>
      </c>
      <c r="N35">
        <f t="shared" ca="1" si="3"/>
        <v>4.0147844554366019</v>
      </c>
      <c r="O35" t="s">
        <v>232</v>
      </c>
    </row>
    <row r="36" spans="1:15">
      <c r="A36">
        <v>0.4</v>
      </c>
      <c r="B36">
        <v>0.72</v>
      </c>
      <c r="C36">
        <v>1.2</v>
      </c>
      <c r="D36">
        <v>1.92</v>
      </c>
      <c r="E36">
        <v>3</v>
      </c>
      <c r="F36">
        <v>4.21</v>
      </c>
      <c r="G36">
        <v>6.01</v>
      </c>
      <c r="H36">
        <v>8.41</v>
      </c>
      <c r="I36">
        <v>11.42</v>
      </c>
      <c r="J36">
        <v>14.42</v>
      </c>
      <c r="K36">
        <v>18.02</v>
      </c>
      <c r="L36">
        <v>22.23</v>
      </c>
      <c r="M36">
        <v>28.84</v>
      </c>
      <c r="N36">
        <f t="shared" ca="1" si="3"/>
        <v>4.0147844554366019</v>
      </c>
    </row>
    <row r="37" spans="1:15">
      <c r="A37">
        <v>0.6</v>
      </c>
      <c r="B37">
        <v>0.59</v>
      </c>
      <c r="C37">
        <v>0.98</v>
      </c>
      <c r="D37">
        <v>1.57</v>
      </c>
      <c r="E37">
        <v>2.4500000000000002</v>
      </c>
      <c r="F37">
        <v>3.43</v>
      </c>
      <c r="G37">
        <v>4.91</v>
      </c>
      <c r="H37">
        <v>6.87</v>
      </c>
      <c r="I37">
        <v>9.32</v>
      </c>
      <c r="J37">
        <v>11.77</v>
      </c>
      <c r="K37">
        <v>14.72</v>
      </c>
      <c r="L37">
        <v>18.149999999999999</v>
      </c>
      <c r="M37">
        <v>23.55</v>
      </c>
      <c r="N37">
        <f t="shared" ca="1" si="3"/>
        <v>4.0147844554366019</v>
      </c>
    </row>
    <row r="41" spans="1:15">
      <c r="A41" s="65" t="s">
        <v>233</v>
      </c>
      <c r="B41" s="65"/>
      <c r="C41" s="65"/>
      <c r="D41" s="65"/>
      <c r="E41" s="65"/>
      <c r="F41" s="65"/>
      <c r="G41" s="65"/>
    </row>
    <row r="42" spans="1:15">
      <c r="A42" s="65" t="s">
        <v>219</v>
      </c>
      <c r="B42" s="65" t="s">
        <v>220</v>
      </c>
      <c r="C42" s="65"/>
      <c r="D42" s="65"/>
      <c r="E42" s="65"/>
      <c r="F42" s="65"/>
      <c r="G42" s="65"/>
      <c r="H42" s="65"/>
      <c r="I42" s="65"/>
      <c r="J42" s="65"/>
      <c r="K42" s="65"/>
      <c r="L42" s="65"/>
      <c r="M42" s="65"/>
    </row>
    <row r="43" spans="1:15">
      <c r="A43" s="65"/>
      <c r="B43">
        <v>6</v>
      </c>
      <c r="C43">
        <v>10</v>
      </c>
      <c r="D43">
        <v>16</v>
      </c>
      <c r="E43">
        <v>25</v>
      </c>
      <c r="F43">
        <v>35</v>
      </c>
      <c r="G43">
        <v>50</v>
      </c>
      <c r="H43">
        <v>70</v>
      </c>
      <c r="I43">
        <v>95</v>
      </c>
      <c r="J43">
        <v>120</v>
      </c>
      <c r="K43">
        <v>150</v>
      </c>
      <c r="L43">
        <v>185</v>
      </c>
      <c r="M43">
        <v>240</v>
      </c>
    </row>
    <row r="44" spans="1:15">
      <c r="A44">
        <v>0.1</v>
      </c>
      <c r="B44">
        <v>2.16</v>
      </c>
      <c r="C44">
        <v>3.6</v>
      </c>
      <c r="D44">
        <v>5.77</v>
      </c>
      <c r="E44">
        <v>9.01</v>
      </c>
      <c r="F44">
        <v>12.62</v>
      </c>
      <c r="G44">
        <v>18.02</v>
      </c>
      <c r="H44">
        <v>25.23</v>
      </c>
      <c r="I44">
        <v>34.25</v>
      </c>
      <c r="J44">
        <v>43.26</v>
      </c>
      <c r="K44">
        <v>54.07</v>
      </c>
      <c r="L44">
        <v>66.69</v>
      </c>
      <c r="M44">
        <v>86.52</v>
      </c>
      <c r="N44">
        <f t="shared" ref="N44:N47" ca="1" si="4">$K$57</f>
        <v>4.0147844554366019</v>
      </c>
    </row>
    <row r="45" spans="1:15">
      <c r="A45">
        <v>0.2</v>
      </c>
      <c r="B45">
        <v>1.53</v>
      </c>
      <c r="C45">
        <v>2.5499999999999998</v>
      </c>
      <c r="D45">
        <v>4.08</v>
      </c>
      <c r="E45">
        <v>6.37</v>
      </c>
      <c r="F45">
        <v>8.92</v>
      </c>
      <c r="G45">
        <v>12.75</v>
      </c>
      <c r="H45">
        <v>17.84</v>
      </c>
      <c r="I45">
        <v>24.22</v>
      </c>
      <c r="J45">
        <v>30.59</v>
      </c>
      <c r="K45">
        <v>38.24</v>
      </c>
      <c r="L45">
        <v>47.16</v>
      </c>
      <c r="M45">
        <v>61.18</v>
      </c>
      <c r="N45">
        <f t="shared" ca="1" si="4"/>
        <v>4.0147844554366019</v>
      </c>
    </row>
    <row r="46" spans="1:15">
      <c r="A46">
        <v>0.4</v>
      </c>
      <c r="B46">
        <v>1.08</v>
      </c>
      <c r="C46">
        <v>1.8</v>
      </c>
      <c r="D46">
        <v>2.88</v>
      </c>
      <c r="E46">
        <v>4.51</v>
      </c>
      <c r="F46">
        <v>6.31</v>
      </c>
      <c r="G46">
        <v>9.01</v>
      </c>
      <c r="H46">
        <v>12.62</v>
      </c>
      <c r="I46">
        <v>17.12</v>
      </c>
      <c r="J46">
        <v>21.63</v>
      </c>
      <c r="K46">
        <v>27.04</v>
      </c>
      <c r="L46">
        <v>33.35</v>
      </c>
      <c r="M46">
        <v>43.26</v>
      </c>
      <c r="N46">
        <f t="shared" ca="1" si="4"/>
        <v>4.0147844554366019</v>
      </c>
    </row>
    <row r="47" spans="1:15">
      <c r="A47">
        <v>0.6</v>
      </c>
      <c r="B47">
        <v>0.88</v>
      </c>
      <c r="C47">
        <v>1.47</v>
      </c>
      <c r="D47">
        <v>2.35</v>
      </c>
      <c r="E47">
        <v>3.68</v>
      </c>
      <c r="F47">
        <v>5.15</v>
      </c>
      <c r="G47">
        <v>7.36</v>
      </c>
      <c r="H47">
        <v>10.3</v>
      </c>
      <c r="I47">
        <v>13.98</v>
      </c>
      <c r="J47">
        <v>17.66</v>
      </c>
      <c r="K47">
        <v>22.08</v>
      </c>
      <c r="L47">
        <v>27.23</v>
      </c>
      <c r="M47">
        <v>35.32</v>
      </c>
      <c r="N47">
        <f t="shared" ca="1" si="4"/>
        <v>4.0147844554366019</v>
      </c>
    </row>
    <row r="57" spans="5:11">
      <c r="E57" t="str">
        <f>短路电流计算及热稳定校验!B24</f>
        <v>交联聚乙烯电力电缆（铜芯）</v>
      </c>
      <c r="I57" t="str">
        <f>短路电流计算及热稳定校验!D24</f>
        <v>0.1s</v>
      </c>
      <c r="K57">
        <f ca="1">短路电流计算及热稳定校验!B19</f>
        <v>4.0147844554366019</v>
      </c>
    </row>
    <row r="60" spans="5:11">
      <c r="E60" s="55">
        <f ca="1">RANK(OFFSET(IF(E57="交联聚乙烯电缆(铜芯)",A4,IF(E57="聚氯乙烯电缆(铜芯)",A14,IF(E57="交联聚乙烯电缆(铝芯)",A24,IF(E57="聚氯乙烯电缆(铝芯)",A34,A44)))),IF(I57="0.1s",0,IF(I57="0.2s",1,IF(I57="0.4s",2,3))),13,1,1),OFFSET(IF(E57="交联聚乙烯电缆(铜芯)",A4,IF(E57="聚氯乙烯电缆(铜芯)",A14,IF(E57="交联聚乙烯电缆(铝芯)",A24,IF(E57="聚氯乙烯电缆(铝芯)",A34,A44)))),IF(I57="0.1s",0,IF(I57="0.2s",1,IF(I57="0.4s",2,3))),1,1,13),1)</f>
        <v>3</v>
      </c>
    </row>
    <row r="62" spans="5:11">
      <c r="E62" s="56">
        <f ca="1">IF(E60=1,6,IF(E60=2,10,IF(E60=3,16,IF(E60=4,25,IF(E60=5,35,IF(E60=6,50,IF(E60=7,70,IF(E60=8,95,IF(E60=9,120,IF(E60=10,150,IF(E60=11,185,IF(E60=12,240,"出错超240"))))))))))))</f>
        <v>16</v>
      </c>
    </row>
  </sheetData>
  <sheetProtection password="CE28" sheet="1" objects="1" scenarios="1"/>
  <mergeCells count="15">
    <mergeCell ref="A1:G1"/>
    <mergeCell ref="A2:A3"/>
    <mergeCell ref="B2:M2"/>
    <mergeCell ref="A11:G11"/>
    <mergeCell ref="A12:A13"/>
    <mergeCell ref="B12:M12"/>
    <mergeCell ref="A41:G41"/>
    <mergeCell ref="A42:A43"/>
    <mergeCell ref="B42:M42"/>
    <mergeCell ref="A21:G21"/>
    <mergeCell ref="A22:A23"/>
    <mergeCell ref="B22:M22"/>
    <mergeCell ref="A31:G31"/>
    <mergeCell ref="A32:A33"/>
    <mergeCell ref="B32:M32"/>
  </mergeCells>
  <phoneticPr fontId="1" type="noConversion"/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>
  <dimension ref="A1:Q76"/>
  <sheetViews>
    <sheetView topLeftCell="A4" workbookViewId="0">
      <selection activeCell="F13" sqref="F13"/>
    </sheetView>
  </sheetViews>
  <sheetFormatPr defaultRowHeight="12"/>
  <cols>
    <col min="1" max="1" width="22.875" style="21" customWidth="1"/>
    <col min="2" max="2" width="18.25" style="23" customWidth="1"/>
    <col min="3" max="3" width="13.25" style="22" customWidth="1"/>
    <col min="4" max="5" width="10" style="22" customWidth="1"/>
    <col min="6" max="6" width="10.125" style="22" customWidth="1"/>
    <col min="7" max="7" width="10.125" style="43" customWidth="1"/>
    <col min="8" max="8" width="10.5" style="22" customWidth="1"/>
    <col min="9" max="9" width="8.875" style="22" customWidth="1"/>
    <col min="10" max="10" width="8" style="22" customWidth="1"/>
    <col min="11" max="11" width="8.875" style="22" customWidth="1"/>
    <col min="12" max="12" width="7.5" style="22" customWidth="1"/>
    <col min="13" max="13" width="7.125" style="22" customWidth="1"/>
    <col min="14" max="16384" width="9" style="21"/>
  </cols>
  <sheetData>
    <row r="1" spans="1:17">
      <c r="A1" s="22"/>
      <c r="B1" s="22"/>
    </row>
    <row r="2" spans="1:17" ht="20.25" customHeight="1">
      <c r="B2" s="22"/>
    </row>
    <row r="3" spans="1:17" ht="18" customHeight="1">
      <c r="C3" s="22" t="s">
        <v>191</v>
      </c>
    </row>
    <row r="4" spans="1:17" ht="24" customHeight="1">
      <c r="A4" s="22" t="s">
        <v>186</v>
      </c>
      <c r="B4" s="45">
        <v>200</v>
      </c>
      <c r="C4" s="39">
        <f>POWER(VALUE(MID(A8,1,2)),2)/B4</f>
        <v>0.5</v>
      </c>
    </row>
    <row r="5" spans="1:17" ht="24.95" customHeight="1"/>
    <row r="6" spans="1:17" ht="24.95" customHeight="1">
      <c r="A6" s="22" t="s">
        <v>90</v>
      </c>
      <c r="B6"/>
      <c r="C6"/>
      <c r="D6"/>
      <c r="E6"/>
      <c r="F6"/>
      <c r="G6" s="40"/>
      <c r="H6"/>
      <c r="I6"/>
      <c r="J6"/>
      <c r="K6"/>
      <c r="L6"/>
      <c r="M6"/>
    </row>
    <row r="7" spans="1:17" ht="24.95" customHeight="1">
      <c r="A7" s="23" t="s">
        <v>91</v>
      </c>
      <c r="B7" s="23" t="s">
        <v>92</v>
      </c>
      <c r="C7" s="23" t="s">
        <v>69</v>
      </c>
      <c r="D7" s="23" t="s">
        <v>93</v>
      </c>
      <c r="E7" s="23"/>
      <c r="F7" s="23" t="s">
        <v>113</v>
      </c>
      <c r="G7" s="23" t="s">
        <v>114</v>
      </c>
      <c r="H7" s="23" t="s">
        <v>199</v>
      </c>
      <c r="I7" s="23" t="s">
        <v>200</v>
      </c>
      <c r="J7" s="23" t="s">
        <v>115</v>
      </c>
      <c r="K7" s="23" t="s">
        <v>116</v>
      </c>
      <c r="L7" s="23" t="s">
        <v>201</v>
      </c>
      <c r="M7" s="23" t="s">
        <v>202</v>
      </c>
    </row>
    <row r="8" spans="1:17" ht="24.95" customHeight="1">
      <c r="A8" s="46" t="s">
        <v>216</v>
      </c>
      <c r="B8" s="46" t="s">
        <v>217</v>
      </c>
      <c r="C8" s="46">
        <v>120</v>
      </c>
      <c r="D8" s="47">
        <v>0</v>
      </c>
      <c r="E8" s="23"/>
      <c r="F8">
        <f>INDEX(IF(AND(A8="6 kv",B8="铜芯交联聚乙烯电缆"),输电线路阻抗表!C4:M7,IF(AND(A8="6 kv",B8="铝芯交联聚乙烯电缆"),输电线路阻抗表!C8:M11,IF(AND(A8="10kv",B8="铜芯交联聚乙烯电缆"),输电线路阻抗表!C33:M36,IF(AND(A8="10kv",B8="铝芯交联聚乙烯电缆"),输电线路阻抗表!C37:M40,IF(AND(A8="35kv",B8="铜芯交联聚乙烯电缆"),输电线路阻抗表!C63:M66,输电线路阻抗表!C67:M70))))),1,MATCH(C8,线路截面积,0))</f>
        <v>0.307</v>
      </c>
      <c r="G8" s="40">
        <f>INDEX(IF(AND(A8="6 kv",B8="铜芯交联聚乙烯电缆"),输电线路阻抗表!C4:M7,IF(AND(A8="6 kv",B8="铝芯交联聚乙烯电缆"),输电线路阻抗表!C8:M11,IF(AND(A8="10kv",B8="铜芯交联聚乙烯电缆"),输电线路阻抗表!C33:M36,IF(AND(A8="10kv",B8="铝芯交联聚乙烯电缆"),输电线路阻抗表!C37:M40,IF(AND(A8="35kv",B8="铜芯交联聚乙烯电缆"),输电线路阻抗表!C63:M66,输电线路阻抗表!C67:M70))))),2,MATCH(C8,线路截面积,0))</f>
        <v>9.5000000000000001E-2</v>
      </c>
      <c r="H8">
        <f>INDEX(IF(AND(A8="6 kv",B8="铜芯交联聚乙烯电缆"),输电线路阻抗表!C4:M7,IF(AND(A8="6 kv",B8="铝芯交联聚乙烯电缆"),输电线路阻抗表!C8:M11,IF(AND(A8="10kv",B8="铜芯交联聚乙烯电缆"),输电线路阻抗表!C33:M36,IF(AND(A8="10kv",B8="铝芯交联聚乙烯电缆"),输电线路阻抗表!C37:M40,IF(AND(A8="35kv",B8="铜芯交联聚乙烯电缆"),输电线路阻抗表!C63:M66,输电线路阻抗表!C67:M70))))),3,MATCH(C8,线路截面积,0))</f>
        <v>0.27839999999999998</v>
      </c>
      <c r="I8">
        <f>INDEX(IF(AND(A8="6 kv",B8="铜芯交联聚乙烯电缆"),输电线路阻抗表!C4:M7,IF(AND(A8="6 kv",B8="铝芯交联聚乙烯电缆"),输电线路阻抗表!C8:M11,IF(AND(A8="10kv",B8="铜芯交联聚乙烯电缆"),输电线路阻抗表!C33:M36,IF(AND(A8="10kv",B8="铝芯交联聚乙烯电缆"),输电线路阻抗表!C37:M40,IF(AND(A8="35kv",B8="铜芯交联聚乙烯电缆"),输电线路阻抗表!C63:M66,输电线路阻抗表!C67:M70))))),4,MATCH(C8,线路截面积,0))</f>
        <v>8.6199999999999999E-2</v>
      </c>
      <c r="J8" s="23">
        <f>F8*D8</f>
        <v>0</v>
      </c>
      <c r="K8" s="23">
        <f>G8*D8</f>
        <v>0</v>
      </c>
      <c r="L8" s="23">
        <f>H8*D8</f>
        <v>0</v>
      </c>
      <c r="M8" s="23">
        <f>I8*D8</f>
        <v>0</v>
      </c>
    </row>
    <row r="9" spans="1:17" customFormat="1" ht="24.95" customHeight="1">
      <c r="F9" s="43" t="s">
        <v>211</v>
      </c>
      <c r="G9" s="43" t="s">
        <v>122</v>
      </c>
      <c r="H9" s="43" t="s">
        <v>128</v>
      </c>
      <c r="I9" s="43" t="s">
        <v>129</v>
      </c>
    </row>
    <row r="10" spans="1:17" ht="24.95" customHeight="1">
      <c r="A10" s="21" t="s">
        <v>210</v>
      </c>
      <c r="B10">
        <f>短路电流计算及热稳定校验!B3</f>
        <v>300</v>
      </c>
      <c r="F10" s="22">
        <f>INDEX('0.4kv电力系统短路阻抗'!B3:I7,2,MATCH(短路电流计算!B10,高压侧短路容量,0))</f>
        <v>5.2999999999999999E-2</v>
      </c>
      <c r="G10" s="43">
        <f>INDEX('0.4kv电力系统短路阻抗'!B3:I7,3,MATCH(短路电流计算!B10,高压侧短路容量,0))</f>
        <v>0.53</v>
      </c>
      <c r="H10" s="22">
        <f>INDEX('0.4kv电力系统短路阻抗'!B3:I7,4,MATCH(短路电流计算!B10,高压侧短路容量,0))</f>
        <v>3.5000000000000003E-2</v>
      </c>
      <c r="I10" s="22">
        <f>INDEX('0.4kv电力系统短路阻抗'!B3:I7,5,MATCH(短路电流计算!B10,高压侧短路容量,0))</f>
        <v>0.35</v>
      </c>
    </row>
    <row r="11" spans="1:17" ht="24.95" customHeight="1">
      <c r="A11" s="22" t="s">
        <v>96</v>
      </c>
      <c r="F11" s="23"/>
      <c r="G11" s="23"/>
    </row>
    <row r="12" spans="1:17" ht="24.95" customHeight="1">
      <c r="A12" s="21" t="s">
        <v>73</v>
      </c>
      <c r="B12" t="str">
        <f>短路电流计算及热稳定校验!B4</f>
        <v>S=800 KVA</v>
      </c>
      <c r="D12" s="22" t="s">
        <v>117</v>
      </c>
      <c r="F12" s="23" t="s">
        <v>212</v>
      </c>
      <c r="G12" s="23" t="s">
        <v>213</v>
      </c>
    </row>
    <row r="13" spans="1:17" ht="24.95" customHeight="1">
      <c r="A13" s="21" t="s">
        <v>74</v>
      </c>
      <c r="B13" t="str">
        <f>短路电流计算及热稳定校验!D4</f>
        <v>U%=6</v>
      </c>
      <c r="D13" s="22">
        <f>INDEX(变压器阻抗表!$C$4:$E$13,MATCH(VALUE(MID(短路电流计算!$B$12,3,4)),变压器阻抗表!$B$4:$B$13,0),MATCH(VALUE(MID(短路电流计算!$B$13,4,1)),变压器阻抗表!$C$3:$E$3,0))</f>
        <v>12</v>
      </c>
      <c r="F13" s="22">
        <f>INDEX(变压器阻抗表!$F$4:$H$13,MATCH(VALUE(MID(短路电流计算!$B$12,3,4)),变压器阻抗表!$B$4:$B$13,0),MATCH(VALUE(MID(短路电流计算!$B$13,4,1)),变压器阻抗表!$C$3:$E$3,0))</f>
        <v>1.67</v>
      </c>
      <c r="G13" s="43">
        <f>INDEX(变压器阻抗表!$I$4:$K$13,MATCH(VALUE(MID(短路电流计算!$B$12,3,4)),变压器阻抗表!$B$4:$B$13,0),MATCH(VALUE(MID(短路电流计算!$B$13,4,1)),变压器阻抗表!$C$3:$E$3,0))</f>
        <v>11.89</v>
      </c>
    </row>
    <row r="14" spans="1:17" ht="24.95" customHeight="1">
      <c r="B14" s="22"/>
      <c r="C14" s="57"/>
    </row>
    <row r="15" spans="1:17" ht="24.95" customHeight="1">
      <c r="A15" s="22" t="s">
        <v>103</v>
      </c>
      <c r="B15" s="22"/>
      <c r="F15" s="23"/>
      <c r="H15" s="21"/>
      <c r="I15" s="23" t="s">
        <v>118</v>
      </c>
      <c r="J15" s="23" t="s">
        <v>119</v>
      </c>
      <c r="K15" s="23" t="s">
        <v>162</v>
      </c>
      <c r="L15" s="23" t="s">
        <v>163</v>
      </c>
      <c r="M15" s="22" t="s">
        <v>121</v>
      </c>
      <c r="N15" s="22" t="s">
        <v>122</v>
      </c>
      <c r="O15" s="22" t="s">
        <v>128</v>
      </c>
      <c r="P15" s="22" t="s">
        <v>129</v>
      </c>
      <c r="Q15" s="22"/>
    </row>
    <row r="16" spans="1:17" ht="24.95" customHeight="1">
      <c r="A16" t="str">
        <f>短路电流计算及热稳定校验!A5</f>
        <v>低压配电母线（铜）</v>
      </c>
      <c r="B16" s="23" t="s">
        <v>107</v>
      </c>
      <c r="C16" t="str">
        <f>短路电流计算及热稳定校验!C5</f>
        <v>100X10(80X8)</v>
      </c>
      <c r="D16" s="22" t="s">
        <v>105</v>
      </c>
      <c r="E16">
        <f>短路电流计算及热稳定校验!G5</f>
        <v>10</v>
      </c>
      <c r="F16" s="69" t="s">
        <v>120</v>
      </c>
      <c r="G16" s="69"/>
      <c r="H16">
        <f>短路电流计算及热稳定校验!E5</f>
        <v>100</v>
      </c>
      <c r="I16" s="23">
        <f>INDEX(IF(A16="低压配电母线（铜）",母线阻抗表!D5:D20,母线阻抗表!F5:F20),MATCH(C16,母线规格,0))</f>
        <v>2.0400000000000001E-2</v>
      </c>
      <c r="J16" s="23">
        <f>INDEX(IF(A16="低压配电母线（铜）",母线阻抗表!E5:E20,母线阻抗表!G5:G20),MATCH(C16,母线规格,0))</f>
        <v>5.2299999999999999E-2</v>
      </c>
      <c r="K16" s="22">
        <f ca="1">OFFSET(母线阻抗表!A41,MATCH(C16,母线阻抗表!A43:A73,0)+1,MATCH(H16,母线相间距离,0)+1)</f>
        <v>0.10199999999999999</v>
      </c>
      <c r="L16" s="22">
        <f ca="1">OFFSET(母线阻抗表!A41,MATCH(C16,母线阻抗表!A43:A73,0)+2,MATCH(H16,母线相间距离,0)+1)</f>
        <v>0.218</v>
      </c>
      <c r="M16" s="22">
        <f>I16*E16</f>
        <v>0.20400000000000001</v>
      </c>
      <c r="N16" s="22">
        <f ca="1">K16*E16</f>
        <v>1.02</v>
      </c>
      <c r="O16" s="22">
        <f>J16*E16</f>
        <v>0.52300000000000002</v>
      </c>
      <c r="P16" s="22">
        <f ca="1">L16*E16</f>
        <v>2.1800000000000002</v>
      </c>
    </row>
    <row r="17" spans="1:16" ht="24.95" customHeight="1">
      <c r="A17" t="str">
        <f>短路电流计算及热稳定校验!A7</f>
        <v xml:space="preserve"> 封闭母线（铜）</v>
      </c>
      <c r="B17" s="20" t="s">
        <v>126</v>
      </c>
      <c r="C17">
        <f>短路电流计算及热稳定校验!C7</f>
        <v>1000</v>
      </c>
      <c r="D17" s="22" t="s">
        <v>105</v>
      </c>
      <c r="E17">
        <f>短路电流计算及热稳定校验!E7</f>
        <v>0</v>
      </c>
      <c r="F17" s="69"/>
      <c r="G17" s="69"/>
      <c r="H17"/>
      <c r="I17" s="26">
        <f>INDEX(IF(A17=" 封闭母线（铜）",母线阻抗表!B103:E118,母线阻抗表!F103:I118),MATCH(C17,母线额定电流,0),1)</f>
        <v>5.3400000000000003E-2</v>
      </c>
      <c r="J17" s="26">
        <f>INDEX(IF(A17=" 封闭母线（铜）",母线阻抗表!B103:E118,母线阻抗表!F103:I118),MATCH(C17,母线额定电流,0),2)</f>
        <v>0.1229</v>
      </c>
      <c r="K17" s="26">
        <f>INDEX(IF(A17=" 封闭母线（铜）",母线阻抗表!B103:E118,母线阻抗表!F103:I118),MATCH(C17,母线额定电流,0),3)</f>
        <v>2.64E-2</v>
      </c>
      <c r="L17" s="26">
        <f>INDEX(IF(A17=" 封闭母线（铜）",母线阻抗表!B103:E118,母线阻抗表!F103:I118),MATCH(C17,母线额定电流,0),4)</f>
        <v>6.0699999999999997E-2</v>
      </c>
      <c r="M17" s="43">
        <f t="shared" ref="M17:M19" si="0">I17*E17</f>
        <v>0</v>
      </c>
      <c r="N17" s="43">
        <f t="shared" ref="N17:N19" si="1">K17*E17</f>
        <v>0</v>
      </c>
      <c r="O17" s="43">
        <f t="shared" ref="O17:O19" si="2">J17*E17</f>
        <v>0</v>
      </c>
      <c r="P17" s="43">
        <f t="shared" ref="P17:P19" si="3">L17*E17</f>
        <v>0</v>
      </c>
    </row>
    <row r="18" spans="1:16" ht="37.5" customHeight="1">
      <c r="A18" t="str">
        <f>短路电流计算及热稳定校验!A8</f>
        <v>4拼交联聚氯乙烯电缆（铜芯）</v>
      </c>
      <c r="B18" s="22" t="s">
        <v>172</v>
      </c>
      <c r="C18">
        <f>短路电流计算及热稳定校验!C8</f>
        <v>120</v>
      </c>
      <c r="D18" s="22" t="s">
        <v>105</v>
      </c>
      <c r="E18">
        <f>短路电流计算及热稳定校验!E8</f>
        <v>0</v>
      </c>
      <c r="F18" s="69"/>
      <c r="G18" s="69"/>
      <c r="I18" s="22">
        <f>INDEX(IF(A18="2拼交联聚氯乙烯电缆（铜芯）",多拼电缆阻抗!C6:D9,IF(A18="3拼交联聚氯乙烯电缆（铜芯）",多拼电缆阻抗!C10:D13,IF(A18="4拼交联聚氯乙烯电缆（铜芯）",多拼电缆阻抗!C14:D17,IF(A18="2拼交联聚氯乙烯电缆（铝芯）",多拼电缆阻抗!E6:F9,IF(A18="3拼交联聚氯乙烯电缆（铝芯）",多拼电缆阻抗!E10:F13,IF(A18="4拼交联聚氯乙烯电缆（铝芯）",多拼电缆阻抗!E14:F17,IF(A18="2拼聚氯乙烯绝缘电缆（铜芯）",多拼电缆阻抗!G6:H9,IF(A18="3拼聚氯乙烯绝缘电缆（铜芯）",多拼电缆阻抗!G10:H13,IF(A18="4拼聚氯乙烯绝缘电缆（铜芯）",多拼电缆阻抗!G14:H17,IF(A18="2拼聚氯乙烯绝缘电缆（铝芯）",多拼电缆阻抗!I6:J9,IF(A18="3拼聚氯乙烯绝缘电缆（铝芯）",多拼电缆阻抗!I10:J13,多拼电缆阻抗!I14:J17))))))))))),MATCH(C18,电缆面积,0),1)</f>
        <v>4.5999999999999999E-2</v>
      </c>
      <c r="J18" s="22">
        <f>INDEX(IF(A18="2拼交联聚氯乙烯电缆（铜芯）",多拼电缆阻抗!C6:D9,IF(A18="3拼交联聚氯乙烯电缆（铜芯）",多拼电缆阻抗!C10:D13,IF(A18="4拼交联聚氯乙烯电缆（铜芯）",多拼电缆阻抗!C14:D17,IF(A18="2拼交联聚氯乙烯电缆（铝芯）",多拼电缆阻抗!E6:F9,IF(A18="3拼交联聚氯乙烯电缆（铝芯）",多拼电缆阻抗!E10:F13,IF(A18="4拼交联聚氯乙烯电缆（铝芯）",多拼电缆阻抗!E14:F17,IF(A18="2拼聚氯乙烯绝缘电缆（铜芯）",多拼电缆阻抗!G6:H9,IF(A18="3拼聚氯乙烯绝缘电缆（铜芯）",多拼电缆阻抗!G10:H13,IF(A18="4拼聚氯乙烯绝缘电缆（铜芯）",多拼电缆阻抗!G14:H17,IF(A18="2拼聚氯乙烯绝缘电缆（铝芯）",多拼电缆阻抗!I6:J9,IF(A18="3拼聚氯乙烯绝缘电缆（铝芯）",多拼电缆阻抗!I10:J13,多拼电缆阻抗!I14:J17))))))))))),MATCH(C18,电缆面积,0),2)</f>
        <v>0.127</v>
      </c>
      <c r="K18" s="33">
        <f>INDEX(IF(VALUE(MID(A18,1,1))=2,多拼电缆阻抗!K6:L9,IF(VALUE(MID(A18,1,1))=3,多拼电缆阻抗!K10:L13,多拼电缆阻抗!K14:L17)),MATCH(C18,电缆面积,0),1)</f>
        <v>6.4199999999999993E-2</v>
      </c>
      <c r="L18" s="22">
        <f>INDEX(IF(VALUE(MID(A18,1,1))=2,多拼电缆阻抗!K6:L9,IF(VALUE(MID(A18,1,1))=3,多拼电缆阻抗!K10:L13,多拼电缆阻抗!K14:L17)),MATCH(C18,电缆面积,0),2)</f>
        <v>0.13200000000000001</v>
      </c>
      <c r="M18" s="43">
        <f t="shared" si="0"/>
        <v>0</v>
      </c>
      <c r="N18" s="43">
        <f t="shared" si="1"/>
        <v>0</v>
      </c>
      <c r="O18" s="43">
        <f t="shared" si="2"/>
        <v>0</v>
      </c>
      <c r="P18" s="43">
        <f t="shared" si="3"/>
        <v>0</v>
      </c>
    </row>
    <row r="19" spans="1:16" ht="36.75" customHeight="1">
      <c r="A19" t="str">
        <f>短路电流计算及热稳定校验!A9</f>
        <v>交联聚乙烯电力电缆（铜芯）</v>
      </c>
      <c r="B19" s="22" t="s">
        <v>171</v>
      </c>
      <c r="C19">
        <f>短路电流计算及热稳定校验!C9</f>
        <v>240</v>
      </c>
      <c r="D19" s="22" t="s">
        <v>105</v>
      </c>
      <c r="E19">
        <f>短路电流计算及热稳定校验!E9</f>
        <v>150</v>
      </c>
      <c r="F19" s="69"/>
      <c r="G19" s="69"/>
      <c r="I19" s="22">
        <f>INDEX(IF(A19="交联聚乙烯电力电缆（铜芯）",电力电缆短路阻抗!B6:C21,IF(A19="聚氯乙烯绝缘电力电缆（铜芯）",电力电缆短路阻抗!F6:G21,IF(A19="交联聚乙烯电力电缆（铝芯）",电力电缆短路阻抗!D6:E21,电力电缆短路阻抗!H6:I21))),MATCH(C19,截面积),1)</f>
        <v>9.0499999999999997E-2</v>
      </c>
      <c r="J19" s="22">
        <f>INDEX(IF(A19="交联聚乙烯电力电缆（铜芯）",电力电缆短路阻抗!B6:C21,IF(A19="聚氯乙烯绝缘电力电缆（铜芯）",电力电缆短路阻抗!F6:G21,IF(A19="交联聚乙烯电力电缆（铝芯）",电力电缆短路阻抗!D6:E21,电力电缆短路阻抗!H6:I21))),MATCH(C19,截面积),2)</f>
        <v>0.27500000000000002</v>
      </c>
      <c r="K19" s="22">
        <f>INDEX(电力电缆短路阻抗!J6:K21,MATCH(C19,截面积,0),1)</f>
        <v>7.1099999999999997E-2</v>
      </c>
      <c r="L19" s="22">
        <f>INDEX(电力电缆短路阻抗!J6:K21,MATCH(C19,截面积,0),2)</f>
        <v>0.14299999999999999</v>
      </c>
      <c r="M19" s="43">
        <f t="shared" si="0"/>
        <v>13.574999999999999</v>
      </c>
      <c r="N19" s="43">
        <f t="shared" si="1"/>
        <v>10.664999999999999</v>
      </c>
      <c r="O19" s="43">
        <f t="shared" si="2"/>
        <v>41.25</v>
      </c>
      <c r="P19" s="43">
        <f t="shared" si="3"/>
        <v>21.45</v>
      </c>
    </row>
    <row r="20" spans="1:16" ht="24.95" customHeight="1">
      <c r="B20" s="22"/>
    </row>
    <row r="21" spans="1:16" ht="24.95" customHeight="1">
      <c r="A21" s="22" t="s">
        <v>173</v>
      </c>
      <c r="C21"/>
    </row>
    <row r="22" spans="1:16" ht="24.95" customHeight="1">
      <c r="A22" t="str">
        <f>短路电流计算及热稳定校验!A11</f>
        <v>交联聚乙烯电力电缆（铜芯）</v>
      </c>
      <c r="B22" s="22" t="s">
        <v>171</v>
      </c>
      <c r="C22">
        <f>短路电流计算及热稳定校验!A11:G11</f>
        <v>25</v>
      </c>
      <c r="D22" s="22" t="s">
        <v>105</v>
      </c>
      <c r="E22">
        <f>短路电流计算及热稳定校验!E11</f>
        <v>40</v>
      </c>
      <c r="I22" s="22">
        <f>INDEX(IF(A22="交联聚乙烯电力电缆（铜芯）",电力电缆短路阻抗!B6:C21,IF(A22="聚氯乙烯绝缘电力电缆（铜芯）",电力电缆短路阻抗!F6:G21,IF(A22="交联聚乙烯电力电缆（铝芯）",电力电缆短路阻抗!D6:E21,电力电缆短路阻抗!H6:I21))),MATCH(C22,截面积),1)</f>
        <v>0.872</v>
      </c>
      <c r="J22" s="22">
        <f>INDEX(IF(A22="交联聚乙烯电力电缆（铜芯）",电力电缆短路阻抗!B6:C21,IF(A22="聚氯乙烯绝缘电力电缆（铜芯）",电力电缆短路阻抗!F6:G21,IF(A22="交联聚乙烯电力电缆（铝芯）",电力电缆短路阻抗!D6:E21,电力电缆短路阻抗!H6:I21))),MATCH(C22,截面积),2)</f>
        <v>2.25</v>
      </c>
      <c r="K22" s="22">
        <f>INDEX(电力电缆短路阻抗!J6:K21,MATCH(C22,截面积,0),1)</f>
        <v>7.9100000000000004E-2</v>
      </c>
      <c r="L22" s="22">
        <f>INDEX(电力电缆短路阻抗!J6:K21,MATCH(C22,截面积,0),2)</f>
        <v>0.159</v>
      </c>
      <c r="M22" s="43">
        <f t="shared" ref="M22:M23" si="4">I22*E22</f>
        <v>34.880000000000003</v>
      </c>
      <c r="N22" s="43">
        <f t="shared" ref="N22:N23" si="5">K22*E22</f>
        <v>3.1640000000000001</v>
      </c>
      <c r="O22" s="43">
        <f t="shared" ref="O22:O23" si="6">J22*E22</f>
        <v>90</v>
      </c>
      <c r="P22" s="43">
        <f t="shared" ref="P22:P23" si="7">L22*E22</f>
        <v>6.36</v>
      </c>
    </row>
    <row r="23" spans="1:16" ht="24.95" customHeight="1">
      <c r="A23" t="str">
        <f>短路电流计算及热稳定校验!A12</f>
        <v>铜导线钢管布线</v>
      </c>
      <c r="B23" s="22" t="s">
        <v>171</v>
      </c>
      <c r="C23">
        <f>短路电流计算及热稳定校验!B12:M12</f>
        <v>50</v>
      </c>
      <c r="D23" s="22" t="s">
        <v>105</v>
      </c>
      <c r="E23">
        <f>短路电流计算及热稳定校验!E12</f>
        <v>0</v>
      </c>
      <c r="F23" s="52"/>
      <c r="I23" s="22">
        <f>INDEX(铜导线钢管布线!B3:G16,MATCH(C23,截面,0),1)</f>
        <v>0.441</v>
      </c>
      <c r="J23" s="22">
        <f>INDEX(铜导线钢管布线!B3:G16,MATCH(C23,截面,0),3)</f>
        <v>1.2410000000000001</v>
      </c>
      <c r="K23" s="22">
        <f>INDEX(铜导线钢管布线!B3:G16,MATCH(C23,截面,0),4)</f>
        <v>0.09</v>
      </c>
      <c r="L23" s="22">
        <f>INDEX(铜导线钢管布线!B3:G16,MATCH(C23,截面,0),6)</f>
        <v>0.9</v>
      </c>
      <c r="M23" s="43">
        <f t="shared" si="4"/>
        <v>0</v>
      </c>
      <c r="N23" s="43">
        <f t="shared" si="5"/>
        <v>0</v>
      </c>
      <c r="O23" s="43">
        <f t="shared" si="6"/>
        <v>0</v>
      </c>
      <c r="P23" s="43">
        <f t="shared" si="7"/>
        <v>0</v>
      </c>
    </row>
    <row r="24" spans="1:16" ht="24.95" customHeight="1">
      <c r="B24" s="22"/>
    </row>
    <row r="25" spans="1:16" ht="24.95" customHeight="1">
      <c r="B25" s="22"/>
    </row>
    <row r="26" spans="1:16" ht="24.95" customHeight="1">
      <c r="B26" s="22"/>
    </row>
    <row r="27" spans="1:16" ht="24.95" customHeight="1">
      <c r="B27" s="22"/>
    </row>
    <row r="28" spans="1:16" ht="24.95" customHeight="1">
      <c r="A28" s="21" t="s">
        <v>184</v>
      </c>
      <c r="B28" s="23" t="s">
        <v>195</v>
      </c>
      <c r="C28" s="23" t="s">
        <v>196</v>
      </c>
      <c r="D28" s="23" t="s">
        <v>197</v>
      </c>
      <c r="E28" s="23" t="s">
        <v>198</v>
      </c>
      <c r="F28" s="43" t="s">
        <v>214</v>
      </c>
      <c r="G28" s="43" t="s">
        <v>192</v>
      </c>
      <c r="H28" s="69" t="s">
        <v>193</v>
      </c>
      <c r="I28" s="69"/>
      <c r="J28" s="69" t="s">
        <v>194</v>
      </c>
      <c r="K28" s="69"/>
      <c r="L28" s="65" t="s">
        <v>215</v>
      </c>
      <c r="M28" s="65"/>
      <c r="N28"/>
      <c r="O28"/>
      <c r="P28"/>
    </row>
    <row r="29" spans="1:16" ht="24.95" customHeight="1">
      <c r="A29" s="21" t="s">
        <v>185</v>
      </c>
      <c r="B29" s="40">
        <f>J8</f>
        <v>0</v>
      </c>
      <c r="C29" s="22">
        <f>C4+K8</f>
        <v>0.5</v>
      </c>
      <c r="D29"/>
      <c r="F29">
        <f>B29/C29</f>
        <v>0</v>
      </c>
      <c r="G29" s="40">
        <f>IF(B29&lt;=0.3*C29,1.8,1.3)</f>
        <v>1.8</v>
      </c>
      <c r="H29" s="65">
        <f>1.05*VALUE(MID(A8,1,2))/(SQRT(3)*SQRT(POWER(B29,2)+POWER(C29,2)))</f>
        <v>12.124355652982143</v>
      </c>
      <c r="I29" s="65"/>
      <c r="J29" s="65">
        <f>SQRT(2)*G29*H29</f>
        <v>30.86357075906805</v>
      </c>
      <c r="K29" s="65"/>
      <c r="L29" s="65"/>
      <c r="M29" s="65"/>
      <c r="N29" s="69"/>
      <c r="O29" s="69"/>
      <c r="P29"/>
    </row>
    <row r="30" spans="1:16" ht="20.100000000000001" customHeight="1">
      <c r="A30" s="21" t="s">
        <v>259</v>
      </c>
      <c r="B30" s="22">
        <f>F10+F13</f>
        <v>1.7229999999999999</v>
      </c>
      <c r="C30" s="22">
        <f>G10+G13</f>
        <v>12.42</v>
      </c>
      <c r="D30" s="22">
        <f>H10+F13</f>
        <v>1.7049999999999998</v>
      </c>
      <c r="E30" s="22">
        <f>I10+G13</f>
        <v>12.24</v>
      </c>
      <c r="F30">
        <f>B30/C30</f>
        <v>0.13872785829307568</v>
      </c>
      <c r="G30" s="40">
        <f>IF(B30&lt;=0.3*C30,1.8,1.3)</f>
        <v>1.8</v>
      </c>
      <c r="H30" s="65">
        <f>230/SQRT(POWER(B30,2)+POWER(C30,2))</f>
        <v>18.342851754972553</v>
      </c>
      <c r="I30" s="65"/>
      <c r="J30" s="65">
        <f>SQRT(2)*G30*H30</f>
        <v>46.693277504066366</v>
      </c>
      <c r="K30" s="65"/>
      <c r="L30" s="65">
        <f>220/SQRT(POWER(D30,2)+POWER(E30,2))</f>
        <v>17.801973372608174</v>
      </c>
      <c r="M30" s="65"/>
      <c r="N30" s="69"/>
      <c r="O30" s="69"/>
      <c r="P30"/>
    </row>
    <row r="31" spans="1:16" ht="20.100000000000001" customHeight="1">
      <c r="A31" s="21" t="s">
        <v>236</v>
      </c>
      <c r="B31" s="52">
        <f>B30+M16</f>
        <v>1.9269999999999998</v>
      </c>
      <c r="C31" s="52">
        <f ca="1">C30+N16</f>
        <v>13.44</v>
      </c>
      <c r="D31">
        <f>D30+O16</f>
        <v>2.2279999999999998</v>
      </c>
      <c r="E31" s="52">
        <f ca="1">E30+P16</f>
        <v>14.42</v>
      </c>
      <c r="F31">
        <f ca="1">B31/C31</f>
        <v>0.14337797619047618</v>
      </c>
      <c r="G31" s="53">
        <f ca="1">IF(B31&lt;=0.3*C31,1.8,1.3)</f>
        <v>1.8</v>
      </c>
      <c r="H31" s="65">
        <f ca="1">230/SQRT(POWER(B31,2)+POWER(C31,2))</f>
        <v>16.939862561146668</v>
      </c>
      <c r="I31" s="65"/>
      <c r="J31" s="65">
        <f ca="1">SQRT(2)*G31*H31</f>
        <v>43.121850081677735</v>
      </c>
      <c r="K31" s="65"/>
      <c r="L31" s="65">
        <f ca="1">220/SQRT(POWER(D31,2)+POWER(E31,2))</f>
        <v>15.077677798375142</v>
      </c>
      <c r="M31" s="65"/>
      <c r="N31" s="52"/>
      <c r="O31" s="52"/>
      <c r="P31"/>
    </row>
    <row r="32" spans="1:16" ht="20.100000000000001" customHeight="1">
      <c r="A32" s="21" t="s">
        <v>234</v>
      </c>
      <c r="B32" s="22">
        <f>B30+M16+M17+M18+M19</f>
        <v>15.501999999999999</v>
      </c>
      <c r="C32" s="22">
        <f ca="1">C30+N16+N17+N18+N19</f>
        <v>24.104999999999997</v>
      </c>
      <c r="D32" s="22">
        <f>D30+O16+O17+O18+O19</f>
        <v>43.478000000000002</v>
      </c>
      <c r="E32" s="22">
        <f ca="1">E30+P16+P17+P18+P19</f>
        <v>35.869999999999997</v>
      </c>
      <c r="F32">
        <f ca="1">B32/C32</f>
        <v>0.64310309064509441</v>
      </c>
      <c r="G32" s="40">
        <f ca="1">IF(B32&lt;=0.3*C32,1.8,1.3)</f>
        <v>1.3</v>
      </c>
      <c r="H32" s="65">
        <f ca="1">230/SQRT(POWER(B32,2)+POWER(C32,2))</f>
        <v>8.0252812372177811</v>
      </c>
      <c r="I32" s="65"/>
      <c r="J32" s="65">
        <f ca="1">SQRT(2)*G32*H32</f>
        <v>14.754300037791234</v>
      </c>
      <c r="K32" s="65"/>
      <c r="L32" s="65">
        <f ca="1">220/SQRT(POWER(D32,2)+POWER(E32,2))</f>
        <v>3.9031435637779506</v>
      </c>
      <c r="M32" s="65"/>
    </row>
    <row r="33" spans="1:13" ht="20.100000000000001" customHeight="1">
      <c r="A33" s="21" t="s">
        <v>235</v>
      </c>
      <c r="B33" s="22">
        <f>B32+M22+M23</f>
        <v>50.382000000000005</v>
      </c>
      <c r="C33" s="22">
        <f ca="1">C32+N22+N23</f>
        <v>27.268999999999998</v>
      </c>
      <c r="D33" s="22">
        <f>D32+O22+O23</f>
        <v>133.47800000000001</v>
      </c>
      <c r="E33" s="22">
        <f ca="1">E32+P22+P23</f>
        <v>42.23</v>
      </c>
      <c r="F33">
        <f ca="1">B33/C33</f>
        <v>1.8475925043089225</v>
      </c>
      <c r="G33" s="40">
        <f ca="1">IF(B33&lt;=0.3*C33,1.8,1.3)</f>
        <v>1.3</v>
      </c>
      <c r="H33" s="65">
        <f ca="1">230/SQRT(POWER(B33,2)+POWER(C33,2))</f>
        <v>4.0147844554366019</v>
      </c>
      <c r="I33" s="65"/>
      <c r="J33" s="65">
        <f ca="1">SQRT(2)*G33*H33</f>
        <v>7.3810914149480604</v>
      </c>
      <c r="K33" s="65"/>
      <c r="L33" s="65">
        <f ca="1">220/SQRT(POWER(D33,2)+POWER(E33,2))</f>
        <v>1.5714386180846847</v>
      </c>
      <c r="M33" s="65"/>
    </row>
    <row r="34" spans="1:13" ht="20.100000000000001" customHeight="1">
      <c r="B34" s="22"/>
      <c r="I34" s="43"/>
    </row>
    <row r="35" spans="1:13">
      <c r="B35" s="22"/>
      <c r="I35" s="43"/>
    </row>
    <row r="36" spans="1:13">
      <c r="B36" s="22"/>
    </row>
    <row r="37" spans="1:13">
      <c r="B37" s="22"/>
    </row>
    <row r="38" spans="1:13">
      <c r="B38" s="22"/>
    </row>
    <row r="39" spans="1:13">
      <c r="B39" s="22"/>
    </row>
    <row r="40" spans="1:13">
      <c r="B40" s="22"/>
    </row>
    <row r="41" spans="1:13">
      <c r="B41" s="22"/>
    </row>
    <row r="42" spans="1:13">
      <c r="B42" s="22"/>
    </row>
    <row r="43" spans="1:13">
      <c r="B43" s="22"/>
    </row>
    <row r="44" spans="1:13">
      <c r="B44" s="22"/>
    </row>
    <row r="45" spans="1:13">
      <c r="B45" s="22"/>
    </row>
    <row r="46" spans="1:13">
      <c r="B46" s="22"/>
    </row>
    <row r="47" spans="1:13">
      <c r="B47" s="22"/>
    </row>
    <row r="48" spans="1:13">
      <c r="B48" s="22"/>
    </row>
    <row r="49" spans="2:2">
      <c r="B49" s="22"/>
    </row>
    <row r="50" spans="2:2">
      <c r="B50" s="22"/>
    </row>
    <row r="51" spans="2:2">
      <c r="B51" s="22"/>
    </row>
    <row r="52" spans="2:2">
      <c r="B52" s="22"/>
    </row>
    <row r="53" spans="2:2">
      <c r="B53" s="22"/>
    </row>
    <row r="54" spans="2:2">
      <c r="B54" s="22"/>
    </row>
    <row r="55" spans="2:2">
      <c r="B55" s="22"/>
    </row>
    <row r="56" spans="2:2">
      <c r="B56" s="22"/>
    </row>
    <row r="57" spans="2:2">
      <c r="B57" s="22"/>
    </row>
    <row r="58" spans="2:2">
      <c r="B58" s="22"/>
    </row>
    <row r="59" spans="2:2">
      <c r="B59" s="22"/>
    </row>
    <row r="60" spans="2:2">
      <c r="B60" s="22"/>
    </row>
    <row r="61" spans="2:2">
      <c r="B61" s="22"/>
    </row>
    <row r="62" spans="2:2">
      <c r="B62" s="22"/>
    </row>
    <row r="63" spans="2:2">
      <c r="B63" s="22"/>
    </row>
    <row r="64" spans="2:2">
      <c r="B64" s="22"/>
    </row>
    <row r="65" spans="2:2">
      <c r="B65" s="22"/>
    </row>
    <row r="66" spans="2:2">
      <c r="B66" s="22"/>
    </row>
    <row r="67" spans="2:2">
      <c r="B67" s="22"/>
    </row>
    <row r="68" spans="2:2">
      <c r="B68" s="22"/>
    </row>
    <row r="69" spans="2:2">
      <c r="B69" s="22"/>
    </row>
    <row r="70" spans="2:2">
      <c r="B70" s="22"/>
    </row>
    <row r="71" spans="2:2">
      <c r="B71" s="22"/>
    </row>
    <row r="72" spans="2:2">
      <c r="B72" s="22"/>
    </row>
    <row r="73" spans="2:2">
      <c r="B73" s="22"/>
    </row>
    <row r="74" spans="2:2">
      <c r="B74" s="22"/>
    </row>
    <row r="75" spans="2:2">
      <c r="B75" s="22"/>
    </row>
    <row r="76" spans="2:2">
      <c r="B76" s="22"/>
    </row>
  </sheetData>
  <sheetProtection password="CE28" sheet="1" objects="1" scenarios="1"/>
  <mergeCells count="24">
    <mergeCell ref="F16:G16"/>
    <mergeCell ref="F17:G17"/>
    <mergeCell ref="F18:G18"/>
    <mergeCell ref="F19:G19"/>
    <mergeCell ref="H32:I32"/>
    <mergeCell ref="H31:I31"/>
    <mergeCell ref="J32:K32"/>
    <mergeCell ref="L32:M32"/>
    <mergeCell ref="H33:I33"/>
    <mergeCell ref="J33:K33"/>
    <mergeCell ref="L33:M33"/>
    <mergeCell ref="J31:K31"/>
    <mergeCell ref="L31:M31"/>
    <mergeCell ref="N30:O30"/>
    <mergeCell ref="N29:O29"/>
    <mergeCell ref="H28:I28"/>
    <mergeCell ref="H29:I29"/>
    <mergeCell ref="H30:I30"/>
    <mergeCell ref="J28:K28"/>
    <mergeCell ref="J29:K29"/>
    <mergeCell ref="J30:K30"/>
    <mergeCell ref="L28:M28"/>
    <mergeCell ref="L29:M29"/>
    <mergeCell ref="L30:M30"/>
  </mergeCells>
  <phoneticPr fontId="1" type="noConversion"/>
  <dataValidations disablePrompts="1" count="4">
    <dataValidation type="list" allowBlank="1" showInputMessage="1" showErrorMessage="1" sqref="B8">
      <formula1>线路类型</formula1>
    </dataValidation>
    <dataValidation type="list" allowBlank="1" showInputMessage="1" showErrorMessage="1" sqref="C8">
      <formula1>线路截面积</formula1>
    </dataValidation>
    <dataValidation type="list" allowBlank="1" showInputMessage="1" showErrorMessage="1" sqref="A8">
      <formula1>电压</formula1>
    </dataValidation>
    <dataValidation type="list" allowBlank="1" showInputMessage="1" showErrorMessage="1" sqref="B4">
      <formula1>系统容量</formula1>
    </dataValidation>
  </dataValidations>
  <pageMargins left="0.7" right="0.7" top="0.75" bottom="0.75" header="0.3" footer="0.3"/>
  <pageSetup paperSize="9"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>
  <dimension ref="A1:R87"/>
  <sheetViews>
    <sheetView zoomScale="80" zoomScaleNormal="80" workbookViewId="0">
      <selection activeCell="O21" sqref="O21"/>
    </sheetView>
  </sheetViews>
  <sheetFormatPr defaultRowHeight="13.5"/>
  <cols>
    <col min="1" max="1" width="13.625" customWidth="1"/>
    <col min="2" max="2" width="9.375" customWidth="1"/>
    <col min="4" max="4" width="11.875" bestFit="1" customWidth="1"/>
    <col min="5" max="5" width="13.25" bestFit="1" customWidth="1"/>
    <col min="6" max="6" width="19.25" customWidth="1"/>
    <col min="7" max="10" width="11.875" bestFit="1" customWidth="1"/>
    <col min="11" max="11" width="16.25" customWidth="1"/>
    <col min="12" max="12" width="11" hidden="1" customWidth="1"/>
    <col min="13" max="13" width="14" customWidth="1"/>
    <col min="14" max="14" width="5.75" customWidth="1"/>
    <col min="15" max="15" width="17.75" customWidth="1"/>
    <col min="18" max="18" width="17" customWidth="1"/>
  </cols>
  <sheetData>
    <row r="1" spans="1:18" ht="22.5">
      <c r="A1" s="72" t="s">
        <v>0</v>
      </c>
      <c r="B1" s="72"/>
      <c r="C1" s="72"/>
      <c r="D1" s="72"/>
      <c r="E1" s="72"/>
      <c r="F1" s="72"/>
      <c r="G1" s="72"/>
      <c r="H1" s="72"/>
      <c r="I1" s="72"/>
      <c r="J1" s="72"/>
      <c r="K1" s="72"/>
      <c r="L1" s="72"/>
      <c r="M1" s="72"/>
    </row>
    <row r="2" spans="1:18" ht="21.75">
      <c r="A2" s="71" t="s">
        <v>1</v>
      </c>
      <c r="B2" s="71" t="s">
        <v>2</v>
      </c>
      <c r="C2" s="71" t="s">
        <v>3</v>
      </c>
      <c r="D2" s="71"/>
      <c r="E2" s="71"/>
      <c r="F2" s="71"/>
      <c r="G2" s="71"/>
      <c r="H2" s="71"/>
      <c r="I2" s="71"/>
      <c r="J2" s="71"/>
      <c r="K2" s="71"/>
      <c r="L2" s="71"/>
      <c r="M2" s="71"/>
    </row>
    <row r="3" spans="1:18" ht="18.75">
      <c r="A3" s="71"/>
      <c r="B3" s="71"/>
      <c r="C3" s="3">
        <v>16</v>
      </c>
      <c r="D3" s="3">
        <v>25</v>
      </c>
      <c r="E3" s="3">
        <v>35</v>
      </c>
      <c r="F3" s="3">
        <v>50</v>
      </c>
      <c r="G3" s="3">
        <v>70</v>
      </c>
      <c r="H3" s="3">
        <v>95</v>
      </c>
      <c r="I3" s="3">
        <v>120</v>
      </c>
      <c r="J3" s="3">
        <v>150</v>
      </c>
      <c r="K3" s="3">
        <v>185</v>
      </c>
      <c r="L3" s="3">
        <v>240</v>
      </c>
      <c r="M3" s="3">
        <v>300</v>
      </c>
    </row>
    <row r="4" spans="1:18" ht="18.75">
      <c r="A4" s="70" t="s">
        <v>4</v>
      </c>
      <c r="B4" s="3" t="s">
        <v>5</v>
      </c>
      <c r="C4" s="3">
        <v>1.4039999999999999</v>
      </c>
      <c r="D4" s="3">
        <v>0.89800000000000002</v>
      </c>
      <c r="E4" s="3">
        <v>0.64200000000000002</v>
      </c>
      <c r="F4" s="3">
        <v>0.44900000000000001</v>
      </c>
      <c r="G4" s="3">
        <v>0.32100000000000001</v>
      </c>
      <c r="H4" s="3">
        <v>0.23599999999999999</v>
      </c>
      <c r="I4" s="3">
        <v>0.187</v>
      </c>
      <c r="J4" s="3">
        <v>0.15</v>
      </c>
      <c r="K4" s="3">
        <v>0.121</v>
      </c>
      <c r="L4" s="3">
        <v>9.4E-2</v>
      </c>
      <c r="M4" s="3">
        <v>7.1999999999999995E-2</v>
      </c>
      <c r="R4" s="1" t="s">
        <v>188</v>
      </c>
    </row>
    <row r="5" spans="1:18" ht="18.75">
      <c r="A5" s="70"/>
      <c r="B5" s="3" t="s">
        <v>6</v>
      </c>
      <c r="C5" s="3">
        <v>0.124</v>
      </c>
      <c r="D5" s="3">
        <v>0.111</v>
      </c>
      <c r="E5" s="3">
        <v>0.105</v>
      </c>
      <c r="F5" s="3">
        <v>9.9000000000000005E-2</v>
      </c>
      <c r="G5" s="3">
        <v>9.2999999999999999E-2</v>
      </c>
      <c r="H5" s="3">
        <v>8.8999999999999996E-2</v>
      </c>
      <c r="I5" s="3">
        <v>8.6999999999999994E-2</v>
      </c>
      <c r="J5" s="3">
        <v>8.5000000000000006E-2</v>
      </c>
      <c r="K5" s="3">
        <v>8.2000000000000003E-2</v>
      </c>
      <c r="L5" s="3">
        <v>0.08</v>
      </c>
      <c r="M5" s="3">
        <v>7.8E-2</v>
      </c>
      <c r="R5" s="1" t="s">
        <v>94</v>
      </c>
    </row>
    <row r="6" spans="1:18" ht="18.75">
      <c r="A6" s="70"/>
      <c r="B6" s="3" t="s">
        <v>7</v>
      </c>
      <c r="C6" s="3">
        <v>3.5379999999999998</v>
      </c>
      <c r="D6" s="3">
        <v>2.2629999999999999</v>
      </c>
      <c r="E6" s="3">
        <v>1.6180000000000001</v>
      </c>
      <c r="F6" s="3">
        <v>1.1315</v>
      </c>
      <c r="G6" s="3">
        <v>0.80889999999999995</v>
      </c>
      <c r="H6" s="3">
        <v>0.59470000000000001</v>
      </c>
      <c r="I6" s="3">
        <v>0.47120000000000001</v>
      </c>
      <c r="J6" s="3">
        <v>0.378</v>
      </c>
      <c r="K6" s="3">
        <v>0.3049</v>
      </c>
      <c r="L6" s="3">
        <v>0.2369</v>
      </c>
      <c r="M6" s="3">
        <v>0.18140000000000001</v>
      </c>
    </row>
    <row r="7" spans="1:18" ht="18.75">
      <c r="A7" s="70"/>
      <c r="B7" s="3" t="s">
        <v>8</v>
      </c>
      <c r="C7" s="3">
        <v>0.3125</v>
      </c>
      <c r="D7" s="3">
        <v>0.2797</v>
      </c>
      <c r="E7" s="3">
        <v>0.2646</v>
      </c>
      <c r="F7" s="3">
        <v>0.2495</v>
      </c>
      <c r="G7" s="3">
        <v>0.2344</v>
      </c>
      <c r="H7" s="3">
        <v>0.2243</v>
      </c>
      <c r="I7" s="3">
        <v>0.21920000000000001</v>
      </c>
      <c r="J7" s="3">
        <v>0.2142</v>
      </c>
      <c r="K7" s="3">
        <v>0.20660000000000001</v>
      </c>
      <c r="L7" s="3">
        <v>0.2016</v>
      </c>
      <c r="M7" s="3">
        <v>0.1966</v>
      </c>
    </row>
    <row r="8" spans="1:18" ht="18.75">
      <c r="A8" s="70" t="s">
        <v>95</v>
      </c>
      <c r="B8" s="3" t="s">
        <v>5</v>
      </c>
      <c r="C8" s="3">
        <v>1.3089999999999999</v>
      </c>
      <c r="D8" s="3">
        <v>0.82799999999999996</v>
      </c>
      <c r="E8" s="3">
        <v>0.59699999999999998</v>
      </c>
      <c r="F8" s="3">
        <v>0.441</v>
      </c>
      <c r="G8" s="3">
        <v>0.30499999999999999</v>
      </c>
      <c r="H8" s="3">
        <v>0.22</v>
      </c>
      <c r="I8" s="3">
        <v>0.17399999999999999</v>
      </c>
      <c r="J8" s="3">
        <v>0.14099999999999999</v>
      </c>
      <c r="K8" s="3">
        <v>0.113</v>
      </c>
      <c r="L8" s="3">
        <v>8.5900000000000004E-2</v>
      </c>
      <c r="M8" s="3">
        <v>6.8400000000000002E-2</v>
      </c>
    </row>
    <row r="9" spans="1:18" ht="18.75">
      <c r="A9" s="70"/>
      <c r="B9" s="3" t="s">
        <v>6</v>
      </c>
      <c r="C9" s="3">
        <v>0.11700000000000001</v>
      </c>
      <c r="D9" s="3">
        <v>0.105</v>
      </c>
      <c r="E9" s="3">
        <v>9.9000000000000005E-2</v>
      </c>
      <c r="F9" s="3">
        <v>9.4E-2</v>
      </c>
      <c r="G9" s="3">
        <v>8.8999999999999996E-2</v>
      </c>
      <c r="H9" s="3">
        <v>8.5000000000000006E-2</v>
      </c>
      <c r="I9" s="3">
        <v>8.3000000000000004E-2</v>
      </c>
      <c r="J9" s="3">
        <v>8.1000000000000003E-2</v>
      </c>
      <c r="K9" s="3">
        <v>7.9000000000000001E-2</v>
      </c>
      <c r="L9" s="3">
        <v>7.6999999999999999E-2</v>
      </c>
      <c r="M9" s="3">
        <v>7.4999999999999997E-2</v>
      </c>
    </row>
    <row r="10" spans="1:18" ht="18.75">
      <c r="A10" s="70"/>
      <c r="B10" s="3" t="s">
        <v>7</v>
      </c>
      <c r="C10" s="3">
        <v>3.2989999999999999</v>
      </c>
      <c r="D10" s="3">
        <v>2.0870000000000002</v>
      </c>
      <c r="E10" s="3">
        <v>1.504</v>
      </c>
      <c r="F10" s="3">
        <v>1.111</v>
      </c>
      <c r="G10" s="3">
        <v>0.76859999999999995</v>
      </c>
      <c r="H10" s="3">
        <v>0.5544</v>
      </c>
      <c r="I10" s="3">
        <v>0.4385</v>
      </c>
      <c r="J10" s="3">
        <v>0.3553</v>
      </c>
      <c r="K10" s="3">
        <v>0.2848</v>
      </c>
      <c r="L10" s="3">
        <v>0.2165</v>
      </c>
      <c r="M10" s="3">
        <v>0.1724</v>
      </c>
    </row>
    <row r="11" spans="1:18" ht="18.75">
      <c r="A11" s="70"/>
      <c r="B11" s="3" t="s">
        <v>8</v>
      </c>
      <c r="C11" s="3">
        <v>0.29480000000000001</v>
      </c>
      <c r="D11" s="3">
        <v>0.2646</v>
      </c>
      <c r="E11" s="3">
        <v>0.2495</v>
      </c>
      <c r="F11" s="3">
        <v>0.2369</v>
      </c>
      <c r="G11" s="3">
        <v>0.2243</v>
      </c>
      <c r="H11" s="3">
        <v>0.2142</v>
      </c>
      <c r="I11" s="3">
        <v>0.2092</v>
      </c>
      <c r="J11" s="3">
        <v>0.2041</v>
      </c>
      <c r="K11" s="3">
        <v>0.1991</v>
      </c>
      <c r="L11" s="3">
        <v>0.19400000000000001</v>
      </c>
      <c r="M11" s="3">
        <v>0.189</v>
      </c>
    </row>
    <row r="12" spans="1:18" ht="18.75">
      <c r="A12" s="2"/>
      <c r="B12" s="2"/>
      <c r="C12" s="2"/>
      <c r="D12" s="2"/>
      <c r="E12" s="2"/>
      <c r="F12" s="2"/>
      <c r="G12" s="2"/>
      <c r="H12" s="2"/>
      <c r="I12" s="2"/>
      <c r="J12" s="2"/>
      <c r="K12" s="2"/>
      <c r="L12" s="1"/>
      <c r="M12" s="1"/>
      <c r="O12" s="2" t="s">
        <v>189</v>
      </c>
    </row>
    <row r="13" spans="1:18" ht="18.75">
      <c r="A13" s="2"/>
      <c r="B13" s="2"/>
      <c r="C13" s="2"/>
      <c r="D13" s="2"/>
      <c r="E13" s="2"/>
      <c r="F13" s="2"/>
      <c r="G13" s="2"/>
      <c r="H13" s="2"/>
      <c r="I13" s="2"/>
      <c r="J13" s="2"/>
      <c r="K13" s="2"/>
      <c r="L13" s="1"/>
      <c r="M13" s="1"/>
      <c r="O13" s="2" t="s">
        <v>190</v>
      </c>
    </row>
    <row r="14" spans="1:18" ht="18.75">
      <c r="A14" s="2"/>
      <c r="B14" s="2"/>
      <c r="C14" s="2"/>
      <c r="D14" s="2"/>
      <c r="E14" s="2"/>
      <c r="F14" s="2"/>
      <c r="G14" s="2"/>
      <c r="H14" s="2"/>
      <c r="I14" s="2"/>
      <c r="J14" s="2"/>
      <c r="K14" s="2"/>
      <c r="L14" s="1"/>
      <c r="M14" s="1"/>
      <c r="O14" s="2" t="s">
        <v>187</v>
      </c>
    </row>
    <row r="15" spans="1:18" ht="18.75">
      <c r="A15" s="2"/>
      <c r="B15" s="2"/>
      <c r="C15" s="2"/>
      <c r="D15" s="2"/>
      <c r="E15" s="2"/>
      <c r="F15" s="2"/>
      <c r="G15" s="2"/>
      <c r="H15" s="2"/>
      <c r="I15" s="2"/>
      <c r="J15" s="2"/>
      <c r="K15" s="2"/>
      <c r="L15" s="1"/>
      <c r="M15" s="1"/>
    </row>
    <row r="16" spans="1:18" ht="18.75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1"/>
      <c r="M16" s="1"/>
    </row>
    <row r="17" spans="1:15" ht="18.75">
      <c r="A17" s="2"/>
      <c r="B17" s="2"/>
      <c r="C17" s="2"/>
      <c r="D17" s="2"/>
      <c r="E17" s="2"/>
      <c r="F17" s="2"/>
      <c r="H17" s="2"/>
      <c r="I17" s="2"/>
      <c r="J17" s="2"/>
      <c r="K17" s="2"/>
      <c r="L17" s="1"/>
      <c r="M17" s="1"/>
      <c r="O17">
        <v>200</v>
      </c>
    </row>
    <row r="18" spans="1:15" ht="18.75">
      <c r="A18" s="2"/>
      <c r="B18" s="2"/>
      <c r="C18" s="2"/>
      <c r="D18" s="2"/>
      <c r="E18" s="2"/>
      <c r="F18" s="2"/>
      <c r="H18" s="2"/>
      <c r="I18" s="2"/>
      <c r="J18" s="2"/>
      <c r="K18" s="2"/>
      <c r="L18" s="1"/>
      <c r="M18" s="1"/>
      <c r="O18">
        <v>300</v>
      </c>
    </row>
    <row r="19" spans="1:15" ht="18.75">
      <c r="A19" s="2"/>
      <c r="B19" s="2"/>
      <c r="C19" s="2"/>
      <c r="D19" s="2"/>
      <c r="E19" s="2"/>
      <c r="F19" s="2"/>
      <c r="H19" s="2"/>
      <c r="I19" s="2"/>
      <c r="J19" s="2"/>
      <c r="K19" s="2"/>
      <c r="L19" s="1"/>
      <c r="M19" s="1"/>
      <c r="O19">
        <v>500</v>
      </c>
    </row>
    <row r="20" spans="1:15" ht="18.75">
      <c r="A20" s="2"/>
      <c r="B20" s="2"/>
      <c r="C20" s="2"/>
      <c r="D20" s="2"/>
      <c r="E20" s="2"/>
      <c r="F20" s="2"/>
      <c r="G20" s="2"/>
      <c r="H20" s="2"/>
      <c r="I20" s="2"/>
      <c r="J20" s="2"/>
      <c r="K20" s="2"/>
      <c r="L20" s="1"/>
      <c r="M20" s="1"/>
      <c r="O20">
        <v>800</v>
      </c>
    </row>
    <row r="21" spans="1:15" ht="18.75">
      <c r="A21" s="2"/>
      <c r="B21" s="2"/>
      <c r="C21" s="2"/>
      <c r="D21" s="2"/>
      <c r="E21" s="2"/>
      <c r="F21" s="34"/>
      <c r="G21" s="2"/>
      <c r="H21" s="2"/>
      <c r="I21" s="2"/>
      <c r="J21" s="2"/>
      <c r="K21" s="2"/>
      <c r="L21" s="1"/>
      <c r="M21" s="1"/>
      <c r="O21" s="38">
        <v>9.0000000000000005E+307</v>
      </c>
    </row>
    <row r="22" spans="1:15" ht="18.75">
      <c r="A22" s="2"/>
      <c r="B22" s="2"/>
      <c r="C22" s="2"/>
      <c r="D22" s="2"/>
      <c r="E22" s="2"/>
      <c r="F22" s="2"/>
      <c r="G22" s="2"/>
      <c r="H22" s="2"/>
      <c r="I22" s="2"/>
      <c r="J22" s="2"/>
      <c r="K22" s="2"/>
      <c r="L22" s="1"/>
      <c r="M22" s="1"/>
    </row>
    <row r="23" spans="1:15" ht="18.75">
      <c r="A23" s="2"/>
      <c r="B23" s="2"/>
      <c r="C23" s="2"/>
      <c r="D23" s="2"/>
      <c r="E23" s="2"/>
      <c r="F23" s="2"/>
      <c r="G23" s="2"/>
      <c r="H23" s="2"/>
      <c r="I23" s="2"/>
      <c r="J23" s="2"/>
      <c r="K23" s="2"/>
      <c r="L23" s="1"/>
      <c r="M23" s="1"/>
    </row>
    <row r="24" spans="1:15" ht="18.75">
      <c r="A24" s="2"/>
      <c r="B24" s="2"/>
      <c r="C24" s="2"/>
      <c r="D24" s="2"/>
      <c r="E24" s="2"/>
      <c r="F24" s="2"/>
      <c r="G24" s="2"/>
      <c r="H24" s="2"/>
      <c r="I24" s="2"/>
      <c r="J24" s="2"/>
      <c r="K24" s="2"/>
      <c r="L24" s="1"/>
      <c r="M24" s="1"/>
    </row>
    <row r="25" spans="1:15" ht="18.75">
      <c r="A25" s="2"/>
      <c r="B25" s="2"/>
      <c r="C25" s="2"/>
      <c r="D25" s="2"/>
      <c r="E25" s="2"/>
      <c r="F25" s="2"/>
      <c r="G25" s="2"/>
      <c r="H25" s="2"/>
      <c r="I25" s="2"/>
      <c r="J25" s="2"/>
      <c r="K25" s="2"/>
      <c r="L25" s="1"/>
      <c r="M25" s="1"/>
    </row>
    <row r="26" spans="1:15" ht="18.75">
      <c r="A26" s="2"/>
      <c r="B26" s="2"/>
      <c r="C26" s="2"/>
      <c r="D26" s="2"/>
      <c r="E26" s="2"/>
      <c r="F26" s="2"/>
      <c r="G26" s="2"/>
      <c r="H26" s="2"/>
      <c r="I26" s="2"/>
      <c r="J26" s="2"/>
      <c r="K26" s="2"/>
      <c r="L26" s="1"/>
      <c r="M26" s="1"/>
    </row>
    <row r="27" spans="1:15" ht="18.75">
      <c r="A27" s="2"/>
      <c r="B27" s="2"/>
      <c r="C27" s="2"/>
      <c r="D27" s="2"/>
      <c r="E27" s="2"/>
      <c r="F27" s="2"/>
      <c r="G27" s="2"/>
      <c r="H27" s="2"/>
      <c r="I27" s="2"/>
      <c r="J27" s="2"/>
      <c r="K27" s="2"/>
      <c r="L27" s="1"/>
      <c r="M27" s="1"/>
    </row>
    <row r="28" spans="1:15" ht="18.75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1"/>
      <c r="M28" s="1"/>
    </row>
    <row r="29" spans="1:15" ht="18.75">
      <c r="A29" s="2"/>
      <c r="B29" s="2"/>
      <c r="C29" s="2"/>
      <c r="D29" s="2"/>
      <c r="E29" s="2"/>
      <c r="F29" s="2"/>
      <c r="G29" s="2"/>
      <c r="H29" s="2"/>
      <c r="I29" s="2"/>
      <c r="J29" s="2"/>
      <c r="K29" s="2"/>
      <c r="L29" s="1"/>
      <c r="M29" s="1"/>
    </row>
    <row r="30" spans="1:15" ht="22.5">
      <c r="A30" s="72" t="s">
        <v>9</v>
      </c>
      <c r="B30" s="72"/>
      <c r="C30" s="72"/>
      <c r="D30" s="72"/>
      <c r="E30" s="72"/>
      <c r="F30" s="72"/>
      <c r="G30" s="72"/>
      <c r="H30" s="72"/>
      <c r="I30" s="72"/>
      <c r="J30" s="72"/>
      <c r="K30" s="72"/>
      <c r="L30" s="72"/>
      <c r="M30" s="72"/>
    </row>
    <row r="31" spans="1:15" ht="21.75">
      <c r="A31" s="71" t="s">
        <v>1</v>
      </c>
      <c r="B31" s="71" t="s">
        <v>2</v>
      </c>
      <c r="C31" s="71" t="s">
        <v>3</v>
      </c>
      <c r="D31" s="71"/>
      <c r="E31" s="71"/>
      <c r="F31" s="71"/>
      <c r="G31" s="71"/>
      <c r="H31" s="71"/>
      <c r="I31" s="71"/>
      <c r="J31" s="71"/>
      <c r="K31" s="71"/>
      <c r="L31" s="71"/>
      <c r="M31" s="71"/>
    </row>
    <row r="32" spans="1:15" ht="18.75">
      <c r="A32" s="71"/>
      <c r="B32" s="71"/>
      <c r="C32" s="3">
        <v>16</v>
      </c>
      <c r="D32" s="3">
        <v>25</v>
      </c>
      <c r="E32" s="3">
        <v>35</v>
      </c>
      <c r="F32" s="3">
        <v>50</v>
      </c>
      <c r="G32" s="3">
        <v>70</v>
      </c>
      <c r="H32" s="3">
        <v>95</v>
      </c>
      <c r="I32" s="3">
        <v>120</v>
      </c>
      <c r="J32" s="3">
        <v>150</v>
      </c>
      <c r="K32" s="3">
        <v>185</v>
      </c>
      <c r="L32" s="3">
        <v>240</v>
      </c>
      <c r="M32" s="3">
        <v>300</v>
      </c>
    </row>
    <row r="33" spans="1:13" ht="18.75">
      <c r="A33" s="70" t="s">
        <v>4</v>
      </c>
      <c r="B33" s="3" t="s">
        <v>5</v>
      </c>
      <c r="C33" s="3">
        <v>1.4039999999999999</v>
      </c>
      <c r="D33" s="3">
        <v>0.89800000000000002</v>
      </c>
      <c r="E33" s="3">
        <v>0.64200000000000002</v>
      </c>
      <c r="F33" s="3">
        <v>0.44900000000000001</v>
      </c>
      <c r="G33" s="3">
        <v>0.32100000000000001</v>
      </c>
      <c r="H33" s="3">
        <v>0.23599999999999999</v>
      </c>
      <c r="I33" s="3">
        <v>0.187</v>
      </c>
      <c r="J33" s="3">
        <v>0.15</v>
      </c>
      <c r="K33" s="3">
        <v>0.121</v>
      </c>
      <c r="L33" s="3">
        <v>9.4E-2</v>
      </c>
      <c r="M33" s="3">
        <v>7.1999999999999995E-2</v>
      </c>
    </row>
    <row r="34" spans="1:13" ht="18.75">
      <c r="A34" s="70"/>
      <c r="B34" s="3" t="s">
        <v>6</v>
      </c>
      <c r="C34" s="3">
        <v>0.13300000000000001</v>
      </c>
      <c r="D34" s="3">
        <v>0.12</v>
      </c>
      <c r="E34" s="3">
        <v>0.113</v>
      </c>
      <c r="F34" s="3">
        <v>0.107</v>
      </c>
      <c r="G34" s="3">
        <v>0.10100000000000001</v>
      </c>
      <c r="H34" s="3">
        <v>9.6000000000000002E-2</v>
      </c>
      <c r="I34" s="3">
        <v>9.5000000000000001E-2</v>
      </c>
      <c r="J34" s="3">
        <v>9.2999999999999999E-2</v>
      </c>
      <c r="K34" s="3">
        <v>0.09</v>
      </c>
      <c r="L34" s="3">
        <v>8.6999999999999994E-2</v>
      </c>
      <c r="M34" s="3">
        <v>8.3000000000000004E-2</v>
      </c>
    </row>
    <row r="35" spans="1:13" ht="18.75">
      <c r="A35" s="70"/>
      <c r="B35" s="3" t="s">
        <v>7</v>
      </c>
      <c r="C35" s="3">
        <v>1.2734000000000001</v>
      </c>
      <c r="D35" s="3">
        <v>0.8145</v>
      </c>
      <c r="E35" s="3">
        <v>0.58230000000000004</v>
      </c>
      <c r="F35" s="3">
        <v>0.40720000000000001</v>
      </c>
      <c r="G35" s="3">
        <v>0.29110000000000003</v>
      </c>
      <c r="H35" s="3">
        <v>0.21410000000000001</v>
      </c>
      <c r="I35" s="3">
        <v>0.1696</v>
      </c>
      <c r="J35" s="3">
        <v>0.1361</v>
      </c>
      <c r="K35" s="3">
        <v>0.10970000000000001</v>
      </c>
      <c r="L35" s="3">
        <v>8.5300000000000001E-2</v>
      </c>
      <c r="M35" s="3">
        <v>6.5299999999999997E-2</v>
      </c>
    </row>
    <row r="36" spans="1:13" ht="18.75">
      <c r="A36" s="70"/>
      <c r="B36" s="3" t="s">
        <v>8</v>
      </c>
      <c r="C36" s="3">
        <v>0.1206</v>
      </c>
      <c r="D36" s="3">
        <v>0.10879999999999999</v>
      </c>
      <c r="E36" s="3">
        <v>0.10249999999999999</v>
      </c>
      <c r="F36" s="3">
        <v>9.7000000000000003E-2</v>
      </c>
      <c r="G36" s="3">
        <v>9.1600000000000001E-2</v>
      </c>
      <c r="H36" s="3">
        <v>8.7099999999999997E-2</v>
      </c>
      <c r="I36" s="3">
        <v>8.6199999999999999E-2</v>
      </c>
      <c r="J36" s="3">
        <v>8.4400000000000003E-2</v>
      </c>
      <c r="K36" s="3">
        <v>8.1600000000000006E-2</v>
      </c>
      <c r="L36" s="3">
        <v>7.8899999999999998E-2</v>
      </c>
      <c r="M36" s="3">
        <v>7.5300000000000006E-2</v>
      </c>
    </row>
    <row r="37" spans="1:13" ht="18.75" customHeight="1">
      <c r="A37" s="70" t="s">
        <v>95</v>
      </c>
      <c r="B37" s="3" t="s">
        <v>5</v>
      </c>
      <c r="C37" s="3">
        <v>2.3010000000000002</v>
      </c>
      <c r="D37" s="3">
        <v>1.4730000000000001</v>
      </c>
      <c r="E37" s="3">
        <v>1.052</v>
      </c>
      <c r="F37" s="3">
        <v>0.73599999999999999</v>
      </c>
      <c r="G37" s="3">
        <v>0.52600000000000002</v>
      </c>
      <c r="H37" s="3">
        <v>0.38800000000000001</v>
      </c>
      <c r="I37" s="3">
        <v>0.307</v>
      </c>
      <c r="J37" s="3">
        <v>0.245</v>
      </c>
      <c r="K37" s="3">
        <v>0.19900000000000001</v>
      </c>
      <c r="L37" s="3">
        <v>0.153</v>
      </c>
      <c r="M37" s="3">
        <v>0.121</v>
      </c>
    </row>
    <row r="38" spans="1:13" ht="18.75">
      <c r="A38" s="70"/>
      <c r="B38" s="3" t="s">
        <v>6</v>
      </c>
      <c r="C38" s="3">
        <v>0.13300000000000001</v>
      </c>
      <c r="D38" s="3">
        <v>0.12</v>
      </c>
      <c r="E38" s="3">
        <v>0.113</v>
      </c>
      <c r="F38" s="3">
        <v>0.107</v>
      </c>
      <c r="G38" s="3">
        <v>0.10100000000000001</v>
      </c>
      <c r="H38" s="3">
        <v>9.6000000000000002E-2</v>
      </c>
      <c r="I38" s="3">
        <v>9.5000000000000001E-2</v>
      </c>
      <c r="J38" s="3">
        <v>9.2999999999999999E-2</v>
      </c>
      <c r="K38" s="3">
        <v>0.09</v>
      </c>
      <c r="L38" s="3">
        <v>8.6999999999999994E-2</v>
      </c>
      <c r="M38" s="3">
        <v>8.3000000000000004E-2</v>
      </c>
    </row>
    <row r="39" spans="1:13" ht="18.75">
      <c r="A39" s="70"/>
      <c r="B39" s="3" t="s">
        <v>7</v>
      </c>
      <c r="C39" s="3">
        <v>2.0870000000000002</v>
      </c>
      <c r="D39" s="3">
        <v>1.3360000000000001</v>
      </c>
      <c r="E39" s="3">
        <v>0.95420000000000005</v>
      </c>
      <c r="F39" s="3">
        <v>0.66759999999999997</v>
      </c>
      <c r="G39" s="3">
        <v>0.47710000000000002</v>
      </c>
      <c r="H39" s="3">
        <v>0.35189999999999999</v>
      </c>
      <c r="I39" s="3">
        <v>0.27839999999999998</v>
      </c>
      <c r="J39" s="3">
        <v>0.22220000000000001</v>
      </c>
      <c r="K39" s="3">
        <v>0.18049999999999999</v>
      </c>
      <c r="L39" s="3">
        <v>0.13880000000000001</v>
      </c>
      <c r="M39" s="3">
        <v>0.10970000000000001</v>
      </c>
    </row>
    <row r="40" spans="1:13" ht="18.75">
      <c r="A40" s="70"/>
      <c r="B40" s="3" t="s">
        <v>8</v>
      </c>
      <c r="C40" s="3">
        <v>0.1206</v>
      </c>
      <c r="D40" s="3">
        <v>0.10879999999999999</v>
      </c>
      <c r="E40" s="3">
        <v>0.10249999999999999</v>
      </c>
      <c r="F40" s="3">
        <v>9.7000000000000003E-2</v>
      </c>
      <c r="G40" s="3">
        <v>9.1600000000000001E-2</v>
      </c>
      <c r="H40" s="3">
        <v>8.7099999999999997E-2</v>
      </c>
      <c r="I40" s="3">
        <v>8.6199999999999999E-2</v>
      </c>
      <c r="J40" s="3">
        <v>8.4400000000000003E-2</v>
      </c>
      <c r="K40" s="3">
        <v>8.1600000000000006E-2</v>
      </c>
      <c r="L40" s="3">
        <v>7.8899999999999998E-2</v>
      </c>
      <c r="M40" s="3">
        <v>7.5300000000000006E-2</v>
      </c>
    </row>
    <row r="46" spans="1:13" ht="18.75">
      <c r="F46" s="34"/>
    </row>
    <row r="60" spans="1:13" ht="22.5">
      <c r="A60" s="72" t="s">
        <v>10</v>
      </c>
      <c r="B60" s="72"/>
      <c r="C60" s="72"/>
      <c r="D60" s="72"/>
      <c r="E60" s="72"/>
      <c r="F60" s="72"/>
      <c r="G60" s="72"/>
      <c r="H60" s="72"/>
      <c r="I60" s="72"/>
      <c r="J60" s="72"/>
      <c r="K60" s="72"/>
      <c r="L60" s="72"/>
      <c r="M60" s="72"/>
    </row>
    <row r="61" spans="1:13" ht="21.75">
      <c r="A61" s="71" t="s">
        <v>1</v>
      </c>
      <c r="B61" s="71" t="s">
        <v>2</v>
      </c>
      <c r="C61" s="71" t="s">
        <v>3</v>
      </c>
      <c r="D61" s="71"/>
      <c r="E61" s="71"/>
      <c r="F61" s="71"/>
      <c r="G61" s="71"/>
      <c r="H61" s="71"/>
      <c r="I61" s="71"/>
      <c r="J61" s="71"/>
      <c r="K61" s="71"/>
      <c r="L61" s="71"/>
      <c r="M61" s="71"/>
    </row>
    <row r="62" spans="1:13" ht="18.75">
      <c r="A62" s="71"/>
      <c r="B62" s="71"/>
      <c r="C62" s="3">
        <v>16</v>
      </c>
      <c r="D62" s="3">
        <v>25</v>
      </c>
      <c r="E62" s="3">
        <v>35</v>
      </c>
      <c r="F62" s="3">
        <v>50</v>
      </c>
      <c r="G62" s="3">
        <v>70</v>
      </c>
      <c r="H62" s="3">
        <v>95</v>
      </c>
      <c r="I62" s="3">
        <v>120</v>
      </c>
      <c r="J62" s="3">
        <v>150</v>
      </c>
      <c r="K62" s="3">
        <v>185</v>
      </c>
      <c r="L62" s="3">
        <v>240</v>
      </c>
      <c r="M62" s="3">
        <v>300</v>
      </c>
    </row>
    <row r="63" spans="1:13" ht="18.75">
      <c r="A63" s="70" t="s">
        <v>4</v>
      </c>
      <c r="B63" s="3" t="s">
        <v>5</v>
      </c>
      <c r="C63" s="3">
        <v>1.4039999999999999</v>
      </c>
      <c r="D63" s="3">
        <v>0.89800000000000002</v>
      </c>
      <c r="E63" s="3">
        <v>0.64200000000000002</v>
      </c>
      <c r="F63" s="3">
        <v>0.44900000000000001</v>
      </c>
      <c r="G63" s="3">
        <v>0.32100000000000001</v>
      </c>
      <c r="H63" s="3">
        <v>0.23599999999999999</v>
      </c>
      <c r="I63" s="3">
        <v>0.187</v>
      </c>
      <c r="J63" s="3">
        <v>0.15</v>
      </c>
      <c r="K63" s="3">
        <v>0.121</v>
      </c>
      <c r="L63" s="3">
        <v>9.4E-2</v>
      </c>
      <c r="M63" s="3">
        <v>7.1999999999999995E-2</v>
      </c>
    </row>
    <row r="64" spans="1:13" ht="18.75">
      <c r="A64" s="70"/>
      <c r="B64" s="3" t="s">
        <v>6</v>
      </c>
      <c r="C64" s="3">
        <v>0.14799999999999999</v>
      </c>
      <c r="D64" s="3">
        <v>0.14099999999999999</v>
      </c>
      <c r="E64" s="3">
        <v>0.13300000000000001</v>
      </c>
      <c r="F64" s="3">
        <v>0.125</v>
      </c>
      <c r="G64" s="3">
        <v>0.123</v>
      </c>
      <c r="H64" s="3">
        <v>0.11899999999999999</v>
      </c>
      <c r="I64" s="3">
        <v>0.11</v>
      </c>
      <c r="J64" s="3">
        <v>0.109</v>
      </c>
      <c r="K64" s="3">
        <v>0.105</v>
      </c>
      <c r="L64" s="3">
        <v>9.5000000000000001E-2</v>
      </c>
      <c r="M64" s="3">
        <v>9.4E-2</v>
      </c>
    </row>
    <row r="65" spans="1:13" ht="18.75">
      <c r="A65" s="70"/>
      <c r="B65" s="3" t="s">
        <v>7</v>
      </c>
      <c r="C65" s="3">
        <v>0.10249999999999999</v>
      </c>
      <c r="D65" s="3">
        <v>6.5600000000000006E-2</v>
      </c>
      <c r="E65" s="3">
        <v>4.6899999999999997E-2</v>
      </c>
      <c r="F65" s="3">
        <v>3.2800000000000003E-2</v>
      </c>
      <c r="G65" s="3">
        <v>2.3400000000000001E-2</v>
      </c>
      <c r="H65" s="3">
        <v>1.72E-2</v>
      </c>
      <c r="I65" s="3">
        <v>1.37E-2</v>
      </c>
      <c r="J65" s="3">
        <v>1.0999999999999999E-2</v>
      </c>
      <c r="K65" s="3">
        <v>8.8000000000000005E-3</v>
      </c>
      <c r="L65" s="3">
        <v>6.8999999999999999E-3</v>
      </c>
      <c r="M65" s="3">
        <v>5.3E-3</v>
      </c>
    </row>
    <row r="66" spans="1:13" ht="18.75">
      <c r="A66" s="70"/>
      <c r="B66" s="3" t="s">
        <v>8</v>
      </c>
      <c r="C66" s="3">
        <v>1.0800000000000001E-2</v>
      </c>
      <c r="D66" s="4">
        <v>1.0290000000000001E-2</v>
      </c>
      <c r="E66" s="5">
        <v>9.7099999999999999E-3</v>
      </c>
      <c r="F66" s="4">
        <v>9.1299999999999992E-3</v>
      </c>
      <c r="G66" s="5">
        <v>8.9800000000000001E-3</v>
      </c>
      <c r="H66" s="4">
        <v>8.6899999999999998E-3</v>
      </c>
      <c r="I66" s="4">
        <v>8.0300000000000007E-3</v>
      </c>
      <c r="J66" s="4">
        <v>7.9600000000000001E-3</v>
      </c>
      <c r="K66" s="4">
        <v>7.6699999999999997E-3</v>
      </c>
      <c r="L66" s="4">
        <v>6.94E-3</v>
      </c>
      <c r="M66" s="4">
        <v>6.8599999999999998E-3</v>
      </c>
    </row>
    <row r="67" spans="1:13" ht="18.75">
      <c r="A67" s="70" t="s">
        <v>94</v>
      </c>
      <c r="B67" s="3" t="s">
        <v>5</v>
      </c>
      <c r="C67" s="3">
        <v>2.3010000000000002</v>
      </c>
      <c r="D67" s="3">
        <v>1.4730000000000001</v>
      </c>
      <c r="E67" s="3">
        <v>1.052</v>
      </c>
      <c r="F67" s="3">
        <v>0.73599999999999999</v>
      </c>
      <c r="G67" s="3">
        <v>0.52600000000000002</v>
      </c>
      <c r="H67" s="3">
        <v>0.38800000000000001</v>
      </c>
      <c r="I67" s="3">
        <v>0.307</v>
      </c>
      <c r="J67" s="3">
        <v>0.245</v>
      </c>
      <c r="K67" s="3">
        <v>0.19900000000000001</v>
      </c>
      <c r="L67" s="3">
        <v>0.153</v>
      </c>
      <c r="M67" s="3">
        <v>0.121</v>
      </c>
    </row>
    <row r="68" spans="1:13" ht="18.75">
      <c r="A68" s="70"/>
      <c r="B68" s="3" t="s">
        <v>6</v>
      </c>
      <c r="C68" s="3">
        <v>0.14799999999999999</v>
      </c>
      <c r="D68" s="3">
        <v>0.14099999999999999</v>
      </c>
      <c r="E68" s="3">
        <v>0.13300000000000001</v>
      </c>
      <c r="F68" s="3">
        <v>0.125</v>
      </c>
      <c r="G68" s="3">
        <v>0.123</v>
      </c>
      <c r="H68" s="3">
        <v>0.11899999999999999</v>
      </c>
      <c r="I68" s="3">
        <v>0.11</v>
      </c>
      <c r="J68" s="3">
        <v>0.109</v>
      </c>
      <c r="K68" s="3">
        <v>0.105</v>
      </c>
      <c r="L68" s="3">
        <v>9.5000000000000001E-2</v>
      </c>
      <c r="M68" s="3">
        <v>9.4E-2</v>
      </c>
    </row>
    <row r="69" spans="1:13" ht="18.75">
      <c r="A69" s="70"/>
      <c r="B69" s="3" t="s">
        <v>7</v>
      </c>
      <c r="C69" s="3">
        <v>0.16800000000000001</v>
      </c>
      <c r="D69" s="3">
        <v>0.1075</v>
      </c>
      <c r="E69" s="3">
        <v>7.6799999999999993E-2</v>
      </c>
      <c r="F69" s="3">
        <v>5.3699999999999998E-2</v>
      </c>
      <c r="G69" s="3">
        <v>3.8399999999999997E-2</v>
      </c>
      <c r="H69" s="3">
        <v>2.8299999999999999E-2</v>
      </c>
      <c r="I69" s="3">
        <v>2.24E-2</v>
      </c>
      <c r="J69" s="3">
        <v>1.7899999999999999E-2</v>
      </c>
      <c r="K69" s="3">
        <v>1.4500000000000001E-2</v>
      </c>
      <c r="L69" s="3">
        <v>1.12E-2</v>
      </c>
      <c r="M69" s="3">
        <v>8.8299999999999993E-3</v>
      </c>
    </row>
    <row r="70" spans="1:13" ht="18.75">
      <c r="A70" s="70"/>
      <c r="B70" s="3" t="s">
        <v>8</v>
      </c>
      <c r="C70" s="3">
        <v>1.0800000000000001E-2</v>
      </c>
      <c r="D70" s="4">
        <v>1.0290000000000001E-2</v>
      </c>
      <c r="E70" s="6">
        <v>9.7099999999999999E-3</v>
      </c>
      <c r="F70" s="4">
        <v>9.1299999999999992E-3</v>
      </c>
      <c r="G70" s="6">
        <v>8.9800000000000001E-3</v>
      </c>
      <c r="H70" s="4">
        <v>8.6899999999999998E-3</v>
      </c>
      <c r="I70" s="4">
        <v>8.0300000000000007E-3</v>
      </c>
      <c r="J70" s="4">
        <v>7.9600000000000001E-3</v>
      </c>
      <c r="K70" s="4">
        <v>7.6699999999999997E-3</v>
      </c>
      <c r="L70" s="4">
        <v>6.94E-3</v>
      </c>
      <c r="M70" s="4">
        <v>6.8599999999999998E-3</v>
      </c>
    </row>
    <row r="76" spans="1:13">
      <c r="C76" t="s">
        <v>66</v>
      </c>
    </row>
    <row r="77" spans="1:13">
      <c r="C77">
        <v>120</v>
      </c>
    </row>
    <row r="78" spans="1:13">
      <c r="C78">
        <f>INDEX(C63:M66,MATCH(C76,B63:B66,0),MATCH(C77,C62:M62,0))</f>
        <v>0.187</v>
      </c>
      <c r="E78" t="s">
        <v>67</v>
      </c>
      <c r="F78" t="s">
        <v>68</v>
      </c>
    </row>
    <row r="79" spans="1:13" ht="18.75">
      <c r="E79" t="s">
        <v>69</v>
      </c>
      <c r="F79">
        <v>120</v>
      </c>
      <c r="J79" s="34"/>
    </row>
    <row r="83" spans="5:8">
      <c r="E83" t="s">
        <v>66</v>
      </c>
      <c r="F83" t="s">
        <v>70</v>
      </c>
      <c r="G83" t="s">
        <v>71</v>
      </c>
      <c r="H83" t="s">
        <v>72</v>
      </c>
    </row>
    <row r="84" spans="5:8">
      <c r="E84" t="e">
        <f ca="1">INDEX(OFFSET(F78,线路类型,0,1,4),MATCH(E83,OFFSET(F78,线路类型,0,1,4),0),MATCH(F79,线路截面积,0))</f>
        <v>#VALUE!</v>
      </c>
    </row>
    <row r="87" spans="5:8">
      <c r="E87">
        <f>INDEX(IF(短路电流计算!B6="铜芯交联聚乙烯电缆",输电线路阻抗表!C63:M66,输电线路阻抗表!C67:M70),1,MATCH(输电线路阻抗表!F79,线路截面积,0))</f>
        <v>0.307</v>
      </c>
    </row>
  </sheetData>
  <sheetProtection password="CE28" sheet="1" objects="1" scenarios="1"/>
  <mergeCells count="18">
    <mergeCell ref="A67:A70"/>
    <mergeCell ref="A37:A40"/>
    <mergeCell ref="A60:M60"/>
    <mergeCell ref="A61:A62"/>
    <mergeCell ref="B61:B62"/>
    <mergeCell ref="C61:M61"/>
    <mergeCell ref="A63:A66"/>
    <mergeCell ref="A33:A36"/>
    <mergeCell ref="A2:A3"/>
    <mergeCell ref="B2:B3"/>
    <mergeCell ref="A1:M1"/>
    <mergeCell ref="C2:M2"/>
    <mergeCell ref="A4:A7"/>
    <mergeCell ref="A8:A11"/>
    <mergeCell ref="A30:M30"/>
    <mergeCell ref="A31:A32"/>
    <mergeCell ref="B31:B32"/>
    <mergeCell ref="C31:M31"/>
  </mergeCells>
  <phoneticPr fontId="1" type="noConversion"/>
  <dataValidations disablePrompts="1" count="2">
    <dataValidation type="list" allowBlank="1" showInputMessage="1" showErrorMessage="1" sqref="F78">
      <formula1>线路类型</formula1>
    </dataValidation>
    <dataValidation type="list" allowBlank="1" showInputMessage="1" showErrorMessage="1" sqref="F79">
      <formula1>线路截面积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>
  <dimension ref="A1:M51"/>
  <sheetViews>
    <sheetView topLeftCell="C1" workbookViewId="0">
      <selection activeCell="I28" sqref="I28"/>
    </sheetView>
  </sheetViews>
  <sheetFormatPr defaultRowHeight="13.5"/>
  <cols>
    <col min="1" max="1" width="5.5" customWidth="1"/>
    <col min="2" max="2" width="14.75" customWidth="1"/>
    <col min="3" max="3" width="10.75" customWidth="1"/>
    <col min="4" max="4" width="9.875" customWidth="1"/>
    <col min="5" max="5" width="12" customWidth="1"/>
    <col min="10" max="10" width="12.75" customWidth="1"/>
  </cols>
  <sheetData>
    <row r="1" spans="1:11" ht="18.75">
      <c r="A1" s="71" t="s">
        <v>11</v>
      </c>
      <c r="B1" s="71"/>
      <c r="C1" s="71"/>
      <c r="D1" s="71"/>
      <c r="E1" s="71"/>
      <c r="F1" s="71"/>
      <c r="G1" s="71"/>
      <c r="H1" s="71"/>
      <c r="I1" s="71"/>
      <c r="J1" s="9"/>
      <c r="K1" s="9"/>
    </row>
    <row r="2" spans="1:11" ht="21.75">
      <c r="A2" s="71" t="s">
        <v>12</v>
      </c>
      <c r="B2" s="71"/>
      <c r="C2" s="71" t="s">
        <v>13</v>
      </c>
      <c r="D2" s="71"/>
      <c r="E2" s="71"/>
      <c r="F2" s="71" t="s">
        <v>23</v>
      </c>
      <c r="G2" s="71"/>
      <c r="H2" s="71"/>
      <c r="I2" s="71" t="s">
        <v>24</v>
      </c>
      <c r="J2" s="71"/>
      <c r="K2" s="71"/>
    </row>
    <row r="3" spans="1:11" ht="18.75">
      <c r="A3" s="71" t="s">
        <v>14</v>
      </c>
      <c r="B3" s="71"/>
      <c r="C3" s="3">
        <v>4</v>
      </c>
      <c r="D3" s="3">
        <v>6</v>
      </c>
      <c r="E3" s="3">
        <v>8</v>
      </c>
      <c r="F3" s="3">
        <v>4</v>
      </c>
      <c r="G3" s="3">
        <v>6</v>
      </c>
      <c r="H3" s="3">
        <v>8</v>
      </c>
      <c r="I3" s="3">
        <v>4</v>
      </c>
      <c r="J3" s="3">
        <v>6</v>
      </c>
      <c r="K3" s="3">
        <v>8</v>
      </c>
    </row>
    <row r="4" spans="1:11" ht="18.75">
      <c r="A4" s="70" t="s">
        <v>15</v>
      </c>
      <c r="B4" s="3">
        <v>315</v>
      </c>
      <c r="C4" s="3">
        <v>20.3</v>
      </c>
      <c r="D4" s="3"/>
      <c r="E4" s="3"/>
      <c r="F4" s="3">
        <v>5.35</v>
      </c>
      <c r="G4" s="3"/>
      <c r="H4" s="3"/>
      <c r="I4" s="3">
        <v>19.579999999999998</v>
      </c>
      <c r="J4" s="10"/>
      <c r="K4" s="10"/>
    </row>
    <row r="5" spans="1:11" ht="18.75">
      <c r="A5" s="70"/>
      <c r="B5" s="3">
        <v>400</v>
      </c>
      <c r="C5" s="3">
        <v>16</v>
      </c>
      <c r="D5" s="3"/>
      <c r="E5" s="3"/>
      <c r="F5" s="3">
        <v>3.83</v>
      </c>
      <c r="G5" s="3"/>
      <c r="H5" s="3"/>
      <c r="I5" s="3">
        <v>15.54</v>
      </c>
      <c r="J5" s="10"/>
      <c r="K5" s="10"/>
    </row>
    <row r="6" spans="1:11" ht="18.75">
      <c r="A6" s="70"/>
      <c r="B6" s="3">
        <v>500</v>
      </c>
      <c r="C6" s="3">
        <v>12.8</v>
      </c>
      <c r="D6" s="3"/>
      <c r="E6" s="3"/>
      <c r="F6" s="3">
        <v>3.01</v>
      </c>
      <c r="G6" s="3"/>
      <c r="H6" s="3"/>
      <c r="I6" s="3">
        <v>12.44</v>
      </c>
      <c r="J6" s="10"/>
      <c r="K6" s="10"/>
    </row>
    <row r="7" spans="1:11" ht="18.75">
      <c r="A7" s="70"/>
      <c r="B7" s="3">
        <v>630</v>
      </c>
      <c r="C7" s="3">
        <v>10.16</v>
      </c>
      <c r="D7" s="3">
        <v>15.2</v>
      </c>
      <c r="E7" s="9"/>
      <c r="F7" s="3">
        <v>2.2599999999999998</v>
      </c>
      <c r="G7" s="3">
        <v>2.29</v>
      </c>
      <c r="H7" s="3"/>
      <c r="I7" s="3">
        <v>9.9</v>
      </c>
      <c r="J7" s="3">
        <v>15</v>
      </c>
      <c r="K7" s="3"/>
    </row>
    <row r="8" spans="1:11" ht="18.75">
      <c r="A8" s="70"/>
      <c r="B8" s="3">
        <v>800</v>
      </c>
      <c r="C8" s="3"/>
      <c r="D8" s="3">
        <v>12</v>
      </c>
      <c r="E8" s="3">
        <v>16</v>
      </c>
      <c r="F8" s="3"/>
      <c r="G8" s="3">
        <v>1.67</v>
      </c>
      <c r="H8" s="3">
        <v>1.75</v>
      </c>
      <c r="I8" s="3"/>
      <c r="J8" s="3">
        <v>11.89</v>
      </c>
      <c r="K8" s="3">
        <v>15.9</v>
      </c>
    </row>
    <row r="9" spans="1:11" ht="18.75">
      <c r="A9" s="70"/>
      <c r="B9" s="3">
        <v>1000</v>
      </c>
      <c r="C9" s="3"/>
      <c r="D9" s="3">
        <v>9.6</v>
      </c>
      <c r="E9" s="3">
        <v>12.8</v>
      </c>
      <c r="F9" s="3"/>
      <c r="G9" s="3">
        <v>1.27</v>
      </c>
      <c r="H9" s="3">
        <v>1.34</v>
      </c>
      <c r="I9" s="3"/>
      <c r="J9" s="3">
        <v>9.5</v>
      </c>
      <c r="K9" s="3">
        <v>12.73</v>
      </c>
    </row>
    <row r="10" spans="1:11" ht="18.75">
      <c r="A10" s="70"/>
      <c r="B10" s="3">
        <v>1250</v>
      </c>
      <c r="C10" s="3"/>
      <c r="D10" s="3">
        <v>7.68</v>
      </c>
      <c r="E10" s="3">
        <v>10.24</v>
      </c>
      <c r="F10" s="3"/>
      <c r="G10" s="3">
        <v>0.97</v>
      </c>
      <c r="H10" s="3">
        <v>0.98</v>
      </c>
      <c r="I10" s="3"/>
      <c r="J10" s="3">
        <v>7.62</v>
      </c>
      <c r="K10" s="3">
        <v>10.19</v>
      </c>
    </row>
    <row r="11" spans="1:11" ht="18.75">
      <c r="A11" s="70"/>
      <c r="B11" s="3">
        <v>1600</v>
      </c>
      <c r="C11" s="3"/>
      <c r="D11" s="3">
        <v>6</v>
      </c>
      <c r="E11" s="3">
        <v>8</v>
      </c>
      <c r="F11" s="3"/>
      <c r="G11" s="3">
        <v>0.71</v>
      </c>
      <c r="H11" s="3">
        <v>0.76</v>
      </c>
      <c r="I11" s="3"/>
      <c r="J11" s="3">
        <v>5.96</v>
      </c>
      <c r="K11" s="3">
        <v>7.96</v>
      </c>
    </row>
    <row r="12" spans="1:11" ht="18.75">
      <c r="A12" s="70"/>
      <c r="B12" s="3">
        <v>2000</v>
      </c>
      <c r="C12" s="3"/>
      <c r="D12" s="3">
        <v>4.8</v>
      </c>
      <c r="E12" s="3">
        <v>6.4</v>
      </c>
      <c r="F12" s="3"/>
      <c r="G12" s="3">
        <v>0.56000000000000005</v>
      </c>
      <c r="H12" s="3">
        <v>0.57999999999999996</v>
      </c>
      <c r="I12" s="3"/>
      <c r="J12" s="3">
        <v>4.7699999999999996</v>
      </c>
      <c r="K12" s="3">
        <v>6.37</v>
      </c>
    </row>
    <row r="13" spans="1:11" ht="18.75">
      <c r="A13" s="70"/>
      <c r="B13" s="3">
        <v>2500</v>
      </c>
      <c r="C13" s="3"/>
      <c r="D13" s="3">
        <v>3.84</v>
      </c>
      <c r="E13" s="3">
        <v>5.12</v>
      </c>
      <c r="F13" s="3"/>
      <c r="G13" s="3">
        <v>0.43</v>
      </c>
      <c r="H13" s="3">
        <v>0.45</v>
      </c>
      <c r="I13" s="3"/>
      <c r="J13" s="3">
        <v>3.82</v>
      </c>
      <c r="K13" s="3">
        <v>5.0999999999999996</v>
      </c>
    </row>
    <row r="14" spans="1:11" ht="18.75">
      <c r="A14" s="2"/>
      <c r="B14" s="2"/>
      <c r="C14" s="2"/>
      <c r="D14" s="2"/>
      <c r="E14" s="2"/>
      <c r="F14" s="2"/>
      <c r="G14" s="2"/>
      <c r="H14" s="2"/>
      <c r="I14" s="2"/>
    </row>
    <row r="15" spans="1:11" ht="18.75">
      <c r="A15" s="2"/>
      <c r="B15" s="2"/>
      <c r="C15" s="2"/>
      <c r="D15" s="2"/>
      <c r="E15" s="2"/>
      <c r="F15" s="2"/>
      <c r="G15" s="2"/>
      <c r="H15" s="2"/>
      <c r="I15" s="2"/>
    </row>
    <row r="17" spans="3:13">
      <c r="J17" t="s">
        <v>75</v>
      </c>
      <c r="K17" s="65" t="s">
        <v>76</v>
      </c>
      <c r="L17" s="65"/>
      <c r="M17" s="65"/>
    </row>
    <row r="18" spans="3:13" ht="18.75">
      <c r="J18" s="17" t="s">
        <v>77</v>
      </c>
      <c r="K18" s="1" t="s">
        <v>100</v>
      </c>
      <c r="L18" s="1"/>
    </row>
    <row r="19" spans="3:13" ht="18.75">
      <c r="J19" s="17" t="s">
        <v>78</v>
      </c>
      <c r="K19" s="1" t="s">
        <v>100</v>
      </c>
      <c r="L19" s="1"/>
    </row>
    <row r="20" spans="3:13" ht="18.75">
      <c r="J20" s="17" t="s">
        <v>79</v>
      </c>
      <c r="K20" s="1" t="s">
        <v>100</v>
      </c>
      <c r="L20" s="1"/>
    </row>
    <row r="21" spans="3:13" ht="18.75">
      <c r="J21" s="17" t="s">
        <v>80</v>
      </c>
      <c r="K21" s="1" t="s">
        <v>100</v>
      </c>
      <c r="L21" s="1" t="s">
        <v>101</v>
      </c>
    </row>
    <row r="22" spans="3:13" ht="18.75">
      <c r="J22" s="17" t="s">
        <v>81</v>
      </c>
      <c r="K22" s="1" t="s">
        <v>101</v>
      </c>
      <c r="L22" s="1" t="s">
        <v>102</v>
      </c>
    </row>
    <row r="23" spans="3:13" ht="18.75">
      <c r="J23" s="17" t="s">
        <v>82</v>
      </c>
      <c r="K23" s="1" t="s">
        <v>101</v>
      </c>
      <c r="L23" s="1" t="s">
        <v>102</v>
      </c>
    </row>
    <row r="24" spans="3:13" ht="18.75">
      <c r="C24" t="s">
        <v>73</v>
      </c>
      <c r="D24" t="s">
        <v>97</v>
      </c>
      <c r="J24" s="17" t="s">
        <v>83</v>
      </c>
      <c r="K24" s="1" t="s">
        <v>101</v>
      </c>
      <c r="L24" s="1" t="s">
        <v>102</v>
      </c>
    </row>
    <row r="25" spans="3:13" ht="18.75">
      <c r="C25" t="s">
        <v>74</v>
      </c>
      <c r="D25" t="s">
        <v>98</v>
      </c>
      <c r="J25" s="17" t="s">
        <v>84</v>
      </c>
      <c r="K25" s="1" t="s">
        <v>101</v>
      </c>
      <c r="L25" s="1" t="s">
        <v>102</v>
      </c>
    </row>
    <row r="26" spans="3:13" ht="18.75">
      <c r="J26" s="17" t="s">
        <v>85</v>
      </c>
      <c r="K26" s="1" t="s">
        <v>101</v>
      </c>
      <c r="L26" s="1" t="s">
        <v>102</v>
      </c>
    </row>
    <row r="27" spans="3:13" ht="18.75">
      <c r="E27">
        <f>VALUE(MID(J18,3,3))</f>
        <v>315</v>
      </c>
      <c r="F27">
        <f>VALUE(MID(D25,4,1))</f>
        <v>4</v>
      </c>
      <c r="J27" s="17" t="s">
        <v>86</v>
      </c>
      <c r="K27" s="1" t="s">
        <v>101</v>
      </c>
      <c r="L27" s="1" t="s">
        <v>102</v>
      </c>
    </row>
    <row r="30" spans="3:13" ht="18.75">
      <c r="J30" s="60"/>
    </row>
    <row r="31" spans="3:13">
      <c r="J31" s="19"/>
    </row>
    <row r="35" spans="3:6">
      <c r="D35" s="19" t="s">
        <v>99</v>
      </c>
    </row>
    <row r="36" spans="3:6">
      <c r="C36" t="s">
        <v>262</v>
      </c>
    </row>
    <row r="38" spans="3:6">
      <c r="E38">
        <f>MATCH(短路电流计算及热稳定校验!B4,变压器容量,0)</f>
        <v>5</v>
      </c>
      <c r="F38">
        <f ca="1">COUNTA(OFFSET(变压器阻抗表!K17:M17,MATCH(短路电流计算及热稳定校验!B4,变压器容量,0),))</f>
        <v>2</v>
      </c>
    </row>
    <row r="50" spans="3:5">
      <c r="C50" t="s">
        <v>87</v>
      </c>
      <c r="D50" t="s">
        <v>73</v>
      </c>
    </row>
    <row r="51" spans="3:5">
      <c r="D51" t="s">
        <v>89</v>
      </c>
      <c r="E51" s="18" t="s">
        <v>88</v>
      </c>
    </row>
  </sheetData>
  <sheetProtection password="CE28" sheet="1" objects="1" scenarios="1"/>
  <mergeCells count="8">
    <mergeCell ref="K17:M17"/>
    <mergeCell ref="A4:A13"/>
    <mergeCell ref="A1:I1"/>
    <mergeCell ref="C2:E2"/>
    <mergeCell ref="F2:H2"/>
    <mergeCell ref="I2:K2"/>
    <mergeCell ref="A2:B2"/>
    <mergeCell ref="A3:B3"/>
  </mergeCells>
  <phoneticPr fontId="1" type="noConversion"/>
  <dataValidations disablePrompts="1" count="2">
    <dataValidation type="list" allowBlank="1" showInputMessage="1" showErrorMessage="1" sqref="D24">
      <formula1>变压器容量</formula1>
    </dataValidation>
    <dataValidation type="list" allowBlank="1" showInputMessage="1" showErrorMessage="1" sqref="D25">
      <formula1>阻抗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>
  <dimension ref="A1:M129"/>
  <sheetViews>
    <sheetView topLeftCell="A42" workbookViewId="0">
      <selection activeCell="H107" sqref="H107"/>
    </sheetView>
  </sheetViews>
  <sheetFormatPr defaultRowHeight="13.5"/>
  <cols>
    <col min="1" max="1" width="16.375" customWidth="1"/>
    <col min="2" max="2" width="9.5" style="7" customWidth="1"/>
    <col min="3" max="3" width="10.375" customWidth="1"/>
    <col min="11" max="11" width="10.375" customWidth="1"/>
  </cols>
  <sheetData>
    <row r="1" spans="1:12" ht="18.75">
      <c r="A1" s="70" t="s">
        <v>54</v>
      </c>
      <c r="B1" s="70"/>
      <c r="C1" s="70"/>
      <c r="D1" s="70"/>
      <c r="E1" s="70"/>
      <c r="F1" s="70"/>
      <c r="G1" s="70"/>
      <c r="H1" s="2"/>
      <c r="I1" s="2"/>
      <c r="J1" s="2"/>
      <c r="K1" s="2"/>
      <c r="L1" s="2"/>
    </row>
    <row r="2" spans="1:12" ht="21.75" customHeight="1">
      <c r="A2" s="70" t="s">
        <v>16</v>
      </c>
      <c r="B2" s="71" t="s">
        <v>21</v>
      </c>
      <c r="C2" s="71"/>
      <c r="D2" s="77" t="s">
        <v>106</v>
      </c>
      <c r="E2" s="78"/>
      <c r="F2" s="78"/>
      <c r="G2" s="79"/>
      <c r="H2" s="2"/>
      <c r="I2" s="2"/>
      <c r="J2" s="2"/>
      <c r="K2" s="2"/>
      <c r="L2" s="2"/>
    </row>
    <row r="3" spans="1:12" ht="18.75">
      <c r="A3" s="70"/>
      <c r="B3" s="3" t="s">
        <v>18</v>
      </c>
      <c r="C3" s="11" t="s">
        <v>20</v>
      </c>
      <c r="D3" s="71" t="s">
        <v>17</v>
      </c>
      <c r="E3" s="71"/>
      <c r="F3" s="71" t="s">
        <v>19</v>
      </c>
      <c r="G3" s="71"/>
      <c r="H3" s="2"/>
      <c r="I3" s="2"/>
      <c r="J3" s="2"/>
      <c r="K3" s="2"/>
      <c r="L3" s="2"/>
    </row>
    <row r="4" spans="1:12" ht="21.75">
      <c r="A4" s="70"/>
      <c r="B4" s="3" t="s">
        <v>22</v>
      </c>
      <c r="C4" s="3" t="s">
        <v>22</v>
      </c>
      <c r="D4" s="3" t="s">
        <v>25</v>
      </c>
      <c r="E4" s="3" t="s">
        <v>26</v>
      </c>
      <c r="F4" s="3" t="s">
        <v>25</v>
      </c>
      <c r="G4" s="3" t="s">
        <v>26</v>
      </c>
      <c r="H4" s="2"/>
      <c r="I4" s="2"/>
      <c r="J4" s="2"/>
      <c r="K4" s="2"/>
      <c r="L4" s="2"/>
    </row>
    <row r="5" spans="1:12" ht="18.75">
      <c r="A5" s="11" t="s">
        <v>27</v>
      </c>
      <c r="B5" s="15">
        <v>0.14899999999999999</v>
      </c>
      <c r="C5" s="15">
        <v>0.24199999999999999</v>
      </c>
      <c r="D5" s="15">
        <v>0.16969999999999999</v>
      </c>
      <c r="E5" s="15">
        <v>0.33939999999999998</v>
      </c>
      <c r="F5" s="15">
        <v>0.27700000000000002</v>
      </c>
      <c r="G5" s="15">
        <v>0.55400000000000005</v>
      </c>
      <c r="H5" s="2"/>
      <c r="I5" s="2"/>
      <c r="J5" s="2"/>
      <c r="K5" s="2"/>
      <c r="L5" s="2"/>
    </row>
    <row r="6" spans="1:12" ht="18.75">
      <c r="A6" s="11" t="s">
        <v>28</v>
      </c>
      <c r="B6" s="15">
        <v>0.112</v>
      </c>
      <c r="C6" s="15">
        <v>0.18099999999999999</v>
      </c>
      <c r="D6" s="15">
        <v>0.1275</v>
      </c>
      <c r="E6" s="15">
        <v>0.29720000000000002</v>
      </c>
      <c r="F6" s="15">
        <v>0.20699999999999999</v>
      </c>
      <c r="G6" s="15">
        <v>0.48399999999999999</v>
      </c>
      <c r="H6" s="2"/>
      <c r="I6" s="2"/>
      <c r="J6" s="2"/>
      <c r="K6" s="2"/>
      <c r="L6" s="2"/>
    </row>
    <row r="7" spans="1:12" ht="18.75">
      <c r="A7" s="11" t="s">
        <v>29</v>
      </c>
      <c r="B7" s="15">
        <v>8.9499999999999996E-2</v>
      </c>
      <c r="C7" s="15">
        <v>0.14499999999999999</v>
      </c>
      <c r="D7" s="15">
        <v>0.1019</v>
      </c>
      <c r="E7" s="15">
        <v>0.27160000000000001</v>
      </c>
      <c r="F7" s="15">
        <v>0.16600000000000001</v>
      </c>
      <c r="G7" s="15">
        <v>0.443</v>
      </c>
      <c r="H7" s="2"/>
      <c r="I7" s="2"/>
      <c r="J7" s="2"/>
      <c r="K7" s="2"/>
      <c r="L7" s="2"/>
    </row>
    <row r="8" spans="1:12" ht="18.75">
      <c r="A8" s="11" t="s">
        <v>59</v>
      </c>
      <c r="B8" s="15">
        <v>7.1599999999999997E-2</v>
      </c>
      <c r="C8" s="15">
        <v>0.11600000000000001</v>
      </c>
      <c r="D8" s="15">
        <v>8.1500000000000003E-2</v>
      </c>
      <c r="E8" s="15">
        <v>0.20899999999999999</v>
      </c>
      <c r="F8" s="15">
        <v>0.13300000000000001</v>
      </c>
      <c r="G8" s="15">
        <v>0.34</v>
      </c>
      <c r="H8" s="2"/>
      <c r="I8" s="2"/>
      <c r="J8" s="2"/>
      <c r="K8" s="2"/>
      <c r="L8" s="2"/>
    </row>
    <row r="9" spans="1:12" ht="18.75">
      <c r="A9" s="11" t="s">
        <v>31</v>
      </c>
      <c r="B9" s="15">
        <v>5.9700000000000003E-2</v>
      </c>
      <c r="C9" s="15">
        <v>9.6699999999999994E-2</v>
      </c>
      <c r="D9" s="15">
        <v>6.8000000000000005E-2</v>
      </c>
      <c r="E9" s="15">
        <v>0.19550000000000001</v>
      </c>
      <c r="F9" s="15">
        <v>0.11070000000000001</v>
      </c>
      <c r="G9" s="15">
        <v>0.31769999999999998</v>
      </c>
      <c r="H9" s="2"/>
      <c r="I9" s="2"/>
      <c r="J9" s="2"/>
      <c r="K9" s="2"/>
      <c r="L9" s="2"/>
    </row>
    <row r="10" spans="1:12" ht="18.75">
      <c r="A10" s="11" t="s">
        <v>33</v>
      </c>
      <c r="B10" s="15">
        <v>4.9700000000000001E-2</v>
      </c>
      <c r="C10" s="15">
        <v>8.0600000000000005E-2</v>
      </c>
      <c r="D10" s="15">
        <v>5.6599999999999998E-2</v>
      </c>
      <c r="E10" s="15">
        <v>0.1585</v>
      </c>
      <c r="F10" s="15">
        <v>9.2299999999999993E-2</v>
      </c>
      <c r="G10" s="15">
        <v>0.25829999999999997</v>
      </c>
      <c r="H10" s="2"/>
      <c r="I10" s="2"/>
      <c r="J10" s="2"/>
      <c r="K10" s="2"/>
      <c r="L10" s="2"/>
    </row>
    <row r="11" spans="1:12" ht="18.75">
      <c r="A11" s="11" t="s">
        <v>35</v>
      </c>
      <c r="B11" s="15">
        <v>3.73E-2</v>
      </c>
      <c r="C11" s="15">
        <v>6.0400000000000002E-2</v>
      </c>
      <c r="D11" s="15">
        <v>4.2500000000000003E-2</v>
      </c>
      <c r="E11" s="15">
        <v>0.1105</v>
      </c>
      <c r="F11" s="15">
        <v>6.0400000000000002E-2</v>
      </c>
      <c r="G11" s="15">
        <v>0.1711</v>
      </c>
      <c r="H11" s="2"/>
      <c r="I11" s="2"/>
      <c r="J11" s="2" t="s">
        <v>104</v>
      </c>
      <c r="K11" s="2"/>
      <c r="L11" s="2"/>
    </row>
    <row r="12" spans="1:12" ht="18.75">
      <c r="A12" s="11" t="s">
        <v>37</v>
      </c>
      <c r="B12" s="15">
        <v>2.98E-2</v>
      </c>
      <c r="C12" s="15">
        <v>4.8300000000000003E-2</v>
      </c>
      <c r="D12" s="15">
        <v>3.39E-2</v>
      </c>
      <c r="E12" s="15">
        <v>9.0499999999999997E-2</v>
      </c>
      <c r="F12" s="15">
        <v>5.5300000000000002E-2</v>
      </c>
      <c r="G12" s="15">
        <v>0.14760000000000001</v>
      </c>
      <c r="H12" s="2"/>
      <c r="I12" s="2"/>
      <c r="J12" s="2" t="s">
        <v>108</v>
      </c>
      <c r="K12" s="2"/>
      <c r="L12" s="2"/>
    </row>
    <row r="13" spans="1:12" ht="18.75">
      <c r="A13" s="11" t="s">
        <v>38</v>
      </c>
      <c r="B13" s="15">
        <v>3.73E-2</v>
      </c>
      <c r="C13" s="15">
        <v>6.0400000000000002E-2</v>
      </c>
      <c r="D13" s="15">
        <v>4.2500000000000003E-2</v>
      </c>
      <c r="E13" s="15">
        <v>0.1105</v>
      </c>
      <c r="F13" s="15">
        <v>6.0400000000000002E-2</v>
      </c>
      <c r="G13" s="15">
        <v>0.1711</v>
      </c>
      <c r="H13" s="2"/>
      <c r="I13" s="2"/>
      <c r="J13" s="2"/>
      <c r="K13" s="2"/>
      <c r="L13" s="2"/>
    </row>
    <row r="14" spans="1:12" ht="18.75">
      <c r="A14" s="11" t="s">
        <v>40</v>
      </c>
      <c r="B14" s="15">
        <v>2.8000000000000001E-2</v>
      </c>
      <c r="C14" s="15">
        <v>3.1899999999999998E-2</v>
      </c>
      <c r="D14" s="15">
        <v>3.1899999999999998E-2</v>
      </c>
      <c r="E14" s="15">
        <v>8.8499999999999995E-2</v>
      </c>
      <c r="F14" s="15">
        <v>5.1900000000000002E-2</v>
      </c>
      <c r="G14" s="15">
        <v>0.14419999999999999</v>
      </c>
      <c r="H14" s="2"/>
      <c r="I14" s="2"/>
      <c r="J14" s="2"/>
      <c r="K14" s="2"/>
      <c r="L14" s="2"/>
    </row>
    <row r="15" spans="1:12" ht="18.75">
      <c r="A15" s="11" t="s">
        <v>42</v>
      </c>
      <c r="B15" s="15">
        <v>2.24E-2</v>
      </c>
      <c r="C15" s="15">
        <v>2.5499999999999998E-2</v>
      </c>
      <c r="D15" s="15">
        <v>2.5499999999999998E-2</v>
      </c>
      <c r="E15" s="15">
        <v>6.8000000000000005E-2</v>
      </c>
      <c r="F15" s="15">
        <v>4.1500000000000002E-2</v>
      </c>
      <c r="G15" s="15">
        <v>0.1019</v>
      </c>
      <c r="H15" s="2"/>
      <c r="I15" s="2"/>
      <c r="J15" s="2"/>
      <c r="K15" s="2"/>
      <c r="L15" s="2"/>
    </row>
    <row r="16" spans="1:12" ht="18.75">
      <c r="A16" s="11" t="s">
        <v>44</v>
      </c>
      <c r="B16" s="15">
        <v>1.8599999999999998E-2</v>
      </c>
      <c r="C16" s="15">
        <v>2.12E-2</v>
      </c>
      <c r="D16" s="15">
        <v>2.12E-2</v>
      </c>
      <c r="E16" s="15">
        <v>5.3100000000000001E-2</v>
      </c>
      <c r="F16" s="15">
        <v>3.4599999999999999E-2</v>
      </c>
      <c r="G16" s="15">
        <v>8.6499999999999994E-2</v>
      </c>
      <c r="H16" s="2"/>
      <c r="I16" s="2"/>
      <c r="J16" s="2"/>
      <c r="K16" s="2"/>
      <c r="L16" s="2"/>
    </row>
    <row r="17" spans="1:12" ht="18.75">
      <c r="A17" s="11" t="s">
        <v>46</v>
      </c>
      <c r="B17" s="15">
        <v>2.98E-2</v>
      </c>
      <c r="C17" s="15">
        <v>3.39E-2</v>
      </c>
      <c r="D17" s="15">
        <v>3.39E-2</v>
      </c>
      <c r="E17" s="15">
        <v>9.0499999999999997E-2</v>
      </c>
      <c r="F17" s="15">
        <v>5.5300000000000002E-2</v>
      </c>
      <c r="G17" s="15">
        <v>0.14760000000000001</v>
      </c>
      <c r="H17" s="2"/>
      <c r="I17" s="2"/>
      <c r="J17" s="2"/>
      <c r="K17" s="2"/>
      <c r="L17" s="2"/>
    </row>
    <row r="18" spans="1:12" ht="18.75">
      <c r="A18" s="11" t="s">
        <v>48</v>
      </c>
      <c r="B18" s="15">
        <v>2.24E-2</v>
      </c>
      <c r="C18" s="15">
        <v>2.5499999999999998E-2</v>
      </c>
      <c r="D18" s="15">
        <v>2.5499999999999998E-2</v>
      </c>
      <c r="E18" s="15">
        <v>6.8000000000000005E-2</v>
      </c>
      <c r="F18" s="15">
        <v>4.1500000000000002E-2</v>
      </c>
      <c r="G18" s="15">
        <v>0.1019</v>
      </c>
      <c r="H18" s="2"/>
      <c r="I18" s="2"/>
      <c r="J18" s="2"/>
      <c r="K18" s="2"/>
      <c r="L18" s="2"/>
    </row>
    <row r="19" spans="1:12" ht="18.75">
      <c r="A19" s="11" t="s">
        <v>49</v>
      </c>
      <c r="B19" s="15">
        <v>1.7899999999999999E-2</v>
      </c>
      <c r="C19" s="15">
        <v>2.0400000000000001E-2</v>
      </c>
      <c r="D19" s="15">
        <v>2.0400000000000001E-2</v>
      </c>
      <c r="E19" s="15">
        <v>5.2299999999999999E-2</v>
      </c>
      <c r="F19" s="15">
        <v>3.32E-2</v>
      </c>
      <c r="G19" s="15">
        <v>8.5099999999999995E-2</v>
      </c>
      <c r="H19" s="2"/>
      <c r="I19" s="2"/>
      <c r="J19" s="2"/>
      <c r="K19" s="2"/>
      <c r="L19" s="2"/>
    </row>
    <row r="20" spans="1:12" ht="18.75">
      <c r="A20" s="11" t="s">
        <v>51</v>
      </c>
      <c r="B20" s="15">
        <v>1.49E-2</v>
      </c>
      <c r="C20" s="15">
        <v>1.7000000000000001E-2</v>
      </c>
      <c r="D20" s="15">
        <v>1.7000000000000001E-2</v>
      </c>
      <c r="E20" s="15">
        <v>4.8899999999999999E-2</v>
      </c>
      <c r="F20" s="15">
        <v>2.7699999999999999E-2</v>
      </c>
      <c r="G20" s="15">
        <v>7.9600000000000004E-2</v>
      </c>
      <c r="H20" s="2"/>
      <c r="I20" s="2"/>
      <c r="J20" s="2"/>
      <c r="K20" s="2"/>
      <c r="L20" s="2"/>
    </row>
    <row r="21" spans="1:12" ht="18.75">
      <c r="A21" s="2"/>
      <c r="B21" s="8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 ht="18.75">
      <c r="A22" s="2"/>
      <c r="B22" s="8"/>
      <c r="C22" s="2"/>
      <c r="D22" s="2"/>
      <c r="E22" s="2"/>
      <c r="F22" s="2"/>
      <c r="G22" s="2"/>
      <c r="H22" s="2"/>
      <c r="I22" s="12"/>
      <c r="J22" s="2"/>
      <c r="K22" s="2"/>
      <c r="L22" s="2"/>
    </row>
    <row r="23" spans="1:12" ht="18.75">
      <c r="A23" s="2"/>
      <c r="B23" s="8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 ht="18.75">
      <c r="A24" s="2"/>
      <c r="B24" s="8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 ht="18.75">
      <c r="A25" s="2"/>
      <c r="B25" s="8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 ht="18.75">
      <c r="A26" s="2"/>
      <c r="B26" s="8"/>
      <c r="C26" s="2"/>
      <c r="D26" s="2"/>
      <c r="E26" s="2"/>
      <c r="F26" s="2"/>
      <c r="G26" s="2"/>
      <c r="H26" s="2"/>
      <c r="I26" s="2"/>
      <c r="J26" s="2"/>
      <c r="K26" s="2"/>
      <c r="L26" s="2"/>
    </row>
    <row r="27" spans="1:12" ht="18.75">
      <c r="A27" s="2"/>
      <c r="B27" s="8"/>
      <c r="C27" s="2"/>
      <c r="D27" s="2"/>
      <c r="E27" s="2"/>
      <c r="F27" s="2"/>
      <c r="G27" s="2"/>
      <c r="H27" s="2"/>
      <c r="I27" s="2"/>
      <c r="J27" s="2"/>
      <c r="K27" s="2"/>
      <c r="L27" s="2"/>
    </row>
    <row r="28" spans="1:12" ht="18.75">
      <c r="A28" s="2"/>
      <c r="B28" s="8"/>
      <c r="C28" s="2"/>
      <c r="D28" s="2"/>
      <c r="E28" s="2"/>
      <c r="F28" s="2"/>
      <c r="G28" s="2"/>
      <c r="H28" s="2"/>
      <c r="I28" s="2"/>
      <c r="J28" s="2"/>
      <c r="K28" s="2"/>
      <c r="L28" s="2"/>
    </row>
    <row r="29" spans="1:12" ht="18.75">
      <c r="A29" s="2"/>
      <c r="B29" s="8"/>
      <c r="C29" s="2"/>
      <c r="D29" s="2"/>
      <c r="E29" s="2"/>
      <c r="F29" s="2"/>
      <c r="G29" s="2"/>
      <c r="H29" s="2"/>
      <c r="I29" s="2"/>
      <c r="J29" s="2"/>
      <c r="K29" s="2"/>
      <c r="L29" s="2"/>
    </row>
    <row r="30" spans="1:12" ht="18.75">
      <c r="A30" s="2"/>
      <c r="B30" s="8"/>
      <c r="C30" s="2"/>
      <c r="D30" s="2"/>
      <c r="E30" s="2"/>
      <c r="F30" s="2"/>
      <c r="G30" s="2"/>
      <c r="H30" s="2"/>
      <c r="I30" s="2"/>
      <c r="J30" s="2"/>
      <c r="K30" s="2"/>
      <c r="L30" s="2"/>
    </row>
    <row r="31" spans="1:12" ht="18.75">
      <c r="A31" s="2"/>
      <c r="B31" s="8"/>
      <c r="C31" s="2"/>
      <c r="D31" s="2"/>
      <c r="E31" s="2"/>
      <c r="F31" s="2"/>
      <c r="G31" s="2"/>
      <c r="H31" s="2"/>
      <c r="I31" s="2"/>
      <c r="J31" s="2"/>
      <c r="K31" s="2"/>
      <c r="L31" s="2"/>
    </row>
    <row r="32" spans="1:12" ht="18.75">
      <c r="A32" s="2"/>
      <c r="B32" s="8"/>
      <c r="C32" s="2"/>
      <c r="D32" s="2"/>
      <c r="E32" s="2"/>
      <c r="F32" s="2"/>
      <c r="G32" s="2"/>
      <c r="H32" s="2"/>
      <c r="I32" s="2"/>
      <c r="J32" s="2"/>
      <c r="K32" s="2"/>
      <c r="L32" s="2"/>
    </row>
    <row r="40" spans="1:10" ht="18.75">
      <c r="A40" s="71" t="s">
        <v>55</v>
      </c>
      <c r="B40" s="71"/>
      <c r="C40" s="71"/>
      <c r="D40" s="71"/>
      <c r="E40" s="71"/>
      <c r="F40" s="71"/>
      <c r="G40" s="71"/>
      <c r="H40" s="71"/>
      <c r="I40" s="71"/>
    </row>
    <row r="41" spans="1:10" ht="18.75" customHeight="1">
      <c r="A41" s="70" t="s">
        <v>52</v>
      </c>
      <c r="B41" s="75" t="s">
        <v>53</v>
      </c>
      <c r="C41" s="73" t="s">
        <v>56</v>
      </c>
      <c r="D41" s="73"/>
      <c r="E41" s="73"/>
      <c r="F41" s="73"/>
      <c r="G41" s="73"/>
      <c r="H41" s="73"/>
      <c r="I41" s="73"/>
      <c r="J41" s="12"/>
    </row>
    <row r="42" spans="1:10" ht="18.75">
      <c r="A42" s="74"/>
      <c r="B42" s="76"/>
      <c r="C42" s="14">
        <v>100</v>
      </c>
      <c r="D42" s="14">
        <v>125</v>
      </c>
      <c r="E42" s="14">
        <v>150</v>
      </c>
      <c r="F42" s="14">
        <v>200</v>
      </c>
      <c r="G42" s="14">
        <v>250</v>
      </c>
      <c r="H42" s="14">
        <v>300</v>
      </c>
      <c r="I42" s="14">
        <v>350</v>
      </c>
      <c r="J42" s="12"/>
    </row>
    <row r="43" spans="1:10" ht="18.75">
      <c r="A43" s="73" t="s">
        <v>109</v>
      </c>
      <c r="B43" s="14" t="s">
        <v>57</v>
      </c>
      <c r="C43" s="14">
        <v>0.17799999999999999</v>
      </c>
      <c r="D43" s="14">
        <v>0.192</v>
      </c>
      <c r="E43" s="14">
        <v>0.20300000000000001</v>
      </c>
      <c r="F43" s="14">
        <v>0.221</v>
      </c>
      <c r="G43" s="14">
        <v>0.23499999999999999</v>
      </c>
      <c r="H43" s="14">
        <v>0.247</v>
      </c>
      <c r="I43" s="14">
        <v>0.25700000000000001</v>
      </c>
      <c r="J43" s="12"/>
    </row>
    <row r="44" spans="1:10" ht="21.75">
      <c r="A44" s="73"/>
      <c r="B44" s="14" t="s">
        <v>58</v>
      </c>
      <c r="C44" s="14">
        <v>0.35599999999999998</v>
      </c>
      <c r="D44" s="14">
        <v>0.38400000000000001</v>
      </c>
      <c r="E44" s="14">
        <v>0.40600000000000003</v>
      </c>
      <c r="F44" s="14">
        <v>0.442</v>
      </c>
      <c r="G44" s="14">
        <v>0.47</v>
      </c>
      <c r="H44" s="14">
        <v>0.49399999999999999</v>
      </c>
      <c r="I44" s="14">
        <v>0.51400000000000001</v>
      </c>
      <c r="J44" s="12"/>
    </row>
    <row r="45" spans="1:10" ht="18.75">
      <c r="A45" s="73" t="s">
        <v>110</v>
      </c>
      <c r="B45" s="14" t="s">
        <v>57</v>
      </c>
      <c r="C45" s="14">
        <v>0.16</v>
      </c>
      <c r="D45" s="14">
        <v>0.17399999999999999</v>
      </c>
      <c r="E45" s="14">
        <v>0.185</v>
      </c>
      <c r="F45" s="14">
        <v>0.20300000000000001</v>
      </c>
      <c r="G45" s="14">
        <v>0.217</v>
      </c>
      <c r="H45" s="14">
        <v>0.22900000000000001</v>
      </c>
      <c r="I45" s="14">
        <v>0.23799999999999999</v>
      </c>
      <c r="J45" s="12"/>
    </row>
    <row r="46" spans="1:10" ht="21.75">
      <c r="A46" s="73"/>
      <c r="B46" s="14" t="s">
        <v>58</v>
      </c>
      <c r="C46" s="14">
        <v>0.33800000000000002</v>
      </c>
      <c r="D46" s="14">
        <v>0.36599999999999999</v>
      </c>
      <c r="E46" s="14">
        <v>0.38800000000000001</v>
      </c>
      <c r="F46" s="14">
        <v>0.42399999999999999</v>
      </c>
      <c r="G46" s="14">
        <v>0.45200000000000001</v>
      </c>
      <c r="H46" s="14">
        <v>0.47599999999999998</v>
      </c>
      <c r="I46" s="14">
        <v>0.495</v>
      </c>
      <c r="J46" s="12"/>
    </row>
    <row r="47" spans="1:10" ht="18.75">
      <c r="A47" s="73" t="s">
        <v>111</v>
      </c>
      <c r="B47" s="14" t="s">
        <v>57</v>
      </c>
      <c r="C47" s="14">
        <v>0.16</v>
      </c>
      <c r="D47" s="14">
        <v>0.17399999999999999</v>
      </c>
      <c r="E47" s="14">
        <v>0.185</v>
      </c>
      <c r="F47" s="14">
        <v>0.20300000000000001</v>
      </c>
      <c r="G47" s="14">
        <v>0.217</v>
      </c>
      <c r="H47" s="14">
        <v>0.22900000000000001</v>
      </c>
      <c r="I47" s="14">
        <v>0.23799999999999999</v>
      </c>
      <c r="J47" s="12"/>
    </row>
    <row r="48" spans="1:10" ht="21.75">
      <c r="A48" s="73"/>
      <c r="B48" s="14" t="s">
        <v>58</v>
      </c>
      <c r="C48" s="14">
        <v>0.33800000000000002</v>
      </c>
      <c r="D48" s="14">
        <v>0.36599999999999999</v>
      </c>
      <c r="E48" s="14">
        <v>0.38800000000000001</v>
      </c>
      <c r="F48" s="14">
        <v>0.42399999999999999</v>
      </c>
      <c r="G48" s="14">
        <v>0.45200000000000001</v>
      </c>
      <c r="H48" s="14">
        <v>0.47599999999999998</v>
      </c>
      <c r="I48" s="14">
        <v>0.495</v>
      </c>
      <c r="J48" s="12"/>
    </row>
    <row r="49" spans="1:13" ht="18.75">
      <c r="A49" s="73" t="s">
        <v>59</v>
      </c>
      <c r="B49" s="14" t="s">
        <v>57</v>
      </c>
      <c r="C49" s="14">
        <v>0.14599999999999999</v>
      </c>
      <c r="D49" s="14">
        <v>0.16</v>
      </c>
      <c r="E49" s="14">
        <v>0.17100000000000001</v>
      </c>
      <c r="F49" s="14">
        <v>0.189</v>
      </c>
      <c r="G49" s="14">
        <v>0.20300000000000001</v>
      </c>
      <c r="H49" s="14">
        <v>0.215</v>
      </c>
      <c r="I49" s="14">
        <v>0.224</v>
      </c>
      <c r="J49" s="12"/>
    </row>
    <row r="50" spans="1:13" ht="21.75">
      <c r="A50" s="73"/>
      <c r="B50" s="14" t="s">
        <v>58</v>
      </c>
      <c r="C50" s="14">
        <v>0.30599999999999999</v>
      </c>
      <c r="D50" s="14">
        <v>0.33400000000000002</v>
      </c>
      <c r="E50" s="14">
        <v>0.35599999999999998</v>
      </c>
      <c r="F50" s="14">
        <v>0.39200000000000002</v>
      </c>
      <c r="G50" s="14">
        <v>0.42</v>
      </c>
      <c r="H50" s="14">
        <v>0.44400000000000001</v>
      </c>
      <c r="I50" s="14">
        <v>0.46200000000000002</v>
      </c>
      <c r="J50" s="12"/>
    </row>
    <row r="51" spans="1:13" ht="18.75">
      <c r="A51" s="74" t="s">
        <v>30</v>
      </c>
      <c r="B51" s="14" t="s">
        <v>57</v>
      </c>
      <c r="C51" s="14">
        <v>0.14599999999999999</v>
      </c>
      <c r="D51" s="14">
        <v>0.16</v>
      </c>
      <c r="E51" s="14">
        <v>0.17100000000000001</v>
      </c>
      <c r="F51" s="14">
        <v>0.189</v>
      </c>
      <c r="G51" s="14">
        <v>0.20300000000000001</v>
      </c>
      <c r="H51" s="14">
        <v>0.215</v>
      </c>
      <c r="I51" s="14">
        <v>0.224</v>
      </c>
      <c r="J51" s="12"/>
    </row>
    <row r="52" spans="1:13" ht="21.75">
      <c r="A52" s="74"/>
      <c r="B52" s="14" t="s">
        <v>58</v>
      </c>
      <c r="C52" s="14">
        <v>0.30599999999999999</v>
      </c>
      <c r="D52" s="14">
        <v>0.33400000000000002</v>
      </c>
      <c r="E52" s="14">
        <v>0.35599999999999998</v>
      </c>
      <c r="F52" s="14">
        <v>0.39200000000000002</v>
      </c>
      <c r="G52" s="14">
        <v>0.42</v>
      </c>
      <c r="H52" s="14">
        <v>0.44400000000000001</v>
      </c>
      <c r="I52" s="14">
        <v>0.46200000000000002</v>
      </c>
      <c r="J52" s="12"/>
    </row>
    <row r="53" spans="1:13" ht="18.75">
      <c r="A53" s="73" t="s">
        <v>32</v>
      </c>
      <c r="B53" s="14" t="s">
        <v>57</v>
      </c>
      <c r="C53" s="14">
        <v>0.13400000000000001</v>
      </c>
      <c r="D53" s="14">
        <v>0.14799999999999999</v>
      </c>
      <c r="E53" s="14">
        <v>0.16</v>
      </c>
      <c r="F53" s="14">
        <v>0.17799999999999999</v>
      </c>
      <c r="G53" s="14">
        <v>0.192</v>
      </c>
      <c r="H53" s="14">
        <v>0.20300000000000001</v>
      </c>
      <c r="I53" s="14">
        <v>0.21299999999999999</v>
      </c>
      <c r="J53" s="12"/>
    </row>
    <row r="54" spans="1:13" ht="21.75">
      <c r="A54" s="73"/>
      <c r="B54" s="14" t="s">
        <v>58</v>
      </c>
      <c r="C54" s="14">
        <v>0.29399999999999998</v>
      </c>
      <c r="D54" s="14">
        <v>0.32200000000000001</v>
      </c>
      <c r="E54" s="14">
        <v>0.34499999999999997</v>
      </c>
      <c r="F54" s="14">
        <v>0.38100000000000001</v>
      </c>
      <c r="G54" s="14">
        <v>0.40899999999999997</v>
      </c>
      <c r="H54" s="14">
        <v>0.432</v>
      </c>
      <c r="I54" s="14">
        <v>0.45100000000000001</v>
      </c>
      <c r="J54" s="12"/>
    </row>
    <row r="55" spans="1:13" ht="18.75">
      <c r="A55" s="73" t="s">
        <v>34</v>
      </c>
      <c r="B55" s="14" t="s">
        <v>57</v>
      </c>
      <c r="C55" s="14">
        <v>0.11600000000000001</v>
      </c>
      <c r="D55" s="14">
        <v>0.13</v>
      </c>
      <c r="E55" s="14">
        <v>0.14099999999999999</v>
      </c>
      <c r="F55" s="14">
        <v>0.16</v>
      </c>
      <c r="G55" s="14">
        <v>0.17399999999999999</v>
      </c>
      <c r="H55" s="14">
        <v>0.185</v>
      </c>
      <c r="I55" s="14">
        <v>0.19500000000000001</v>
      </c>
      <c r="J55" s="12"/>
    </row>
    <row r="56" spans="1:13" ht="21.75">
      <c r="A56" s="73"/>
      <c r="B56" s="14" t="s">
        <v>58</v>
      </c>
      <c r="C56" s="14">
        <v>0.26200000000000001</v>
      </c>
      <c r="D56" s="14">
        <v>0.28999999999999998</v>
      </c>
      <c r="E56" s="14">
        <v>0.312</v>
      </c>
      <c r="F56" s="14">
        <v>0.34899999999999998</v>
      </c>
      <c r="G56" s="14">
        <v>0.377</v>
      </c>
      <c r="H56" s="14">
        <v>0.4</v>
      </c>
      <c r="I56" s="14">
        <v>0.41899999999999998</v>
      </c>
      <c r="J56" s="12"/>
      <c r="K56" t="s">
        <v>112</v>
      </c>
      <c r="M56">
        <v>200</v>
      </c>
    </row>
    <row r="57" spans="1:13" ht="18.75">
      <c r="A57" s="73" t="s">
        <v>36</v>
      </c>
      <c r="B57" s="14" t="s">
        <v>57</v>
      </c>
      <c r="C57" s="14">
        <v>0.10199999999999999</v>
      </c>
      <c r="D57" s="14">
        <v>0.11600000000000001</v>
      </c>
      <c r="E57" s="14">
        <v>0.127</v>
      </c>
      <c r="F57" s="14">
        <v>0.14599999999999999</v>
      </c>
      <c r="G57" s="14">
        <v>0.16</v>
      </c>
      <c r="H57" s="14">
        <v>0.17100000000000001</v>
      </c>
      <c r="I57" s="14">
        <v>0.18099999999999999</v>
      </c>
      <c r="J57" s="12"/>
    </row>
    <row r="58" spans="1:13" ht="21.75">
      <c r="A58" s="73"/>
      <c r="B58" s="14" t="s">
        <v>58</v>
      </c>
      <c r="C58" s="14">
        <v>0.23599999999999999</v>
      </c>
      <c r="D58" s="14">
        <v>0.26400000000000001</v>
      </c>
      <c r="E58" s="14">
        <v>0.28699999999999998</v>
      </c>
      <c r="F58" s="14">
        <v>0.32400000000000001</v>
      </c>
      <c r="G58" s="14">
        <v>0.35199999999999998</v>
      </c>
      <c r="H58" s="14">
        <v>0.374</v>
      </c>
      <c r="I58" s="14">
        <v>0.39400000000000002</v>
      </c>
      <c r="J58" s="12"/>
    </row>
    <row r="59" spans="1:13" ht="18.75">
      <c r="A59" s="73" t="s">
        <v>112</v>
      </c>
      <c r="B59" s="14" t="s">
        <v>57</v>
      </c>
      <c r="C59" s="14">
        <v>0.13400000000000001</v>
      </c>
      <c r="D59" s="14">
        <v>0.14799999999999999</v>
      </c>
      <c r="E59" s="14">
        <v>0.16</v>
      </c>
      <c r="F59" s="14">
        <v>0.17799999999999999</v>
      </c>
      <c r="G59" s="14">
        <v>0.192</v>
      </c>
      <c r="H59" s="14">
        <v>0.20300000000000001</v>
      </c>
      <c r="I59" s="14">
        <v>0.21299999999999999</v>
      </c>
      <c r="J59" s="12"/>
      <c r="L59">
        <f ca="1">OFFSET(B41,MATCH(K56,A43:A74,0)+1,MATCH(M56,母线相间距离,0))</f>
        <v>0.17799999999999999</v>
      </c>
    </row>
    <row r="60" spans="1:13" ht="21.75">
      <c r="A60" s="73"/>
      <c r="B60" s="14" t="s">
        <v>58</v>
      </c>
      <c r="C60" s="14">
        <v>0.28000000000000003</v>
      </c>
      <c r="D60" s="14">
        <v>0.308</v>
      </c>
      <c r="E60" s="14">
        <v>0.33100000000000002</v>
      </c>
      <c r="F60" s="14">
        <v>0.36699999999999999</v>
      </c>
      <c r="G60" s="14">
        <v>0.39500000000000002</v>
      </c>
      <c r="H60" s="14">
        <v>0.41799999999999998</v>
      </c>
      <c r="I60" s="14">
        <v>0.437</v>
      </c>
      <c r="J60" s="12"/>
      <c r="L60">
        <f ca="1">OFFSET(B41,MATCH(K56,A43:A74,0)+2,MATCH(M56,母线相间距离,0))</f>
        <v>0.36699999999999999</v>
      </c>
    </row>
    <row r="61" spans="1:13" ht="18.75">
      <c r="A61" s="73" t="s">
        <v>39</v>
      </c>
      <c r="B61" s="14" t="s">
        <v>57</v>
      </c>
      <c r="C61" s="14">
        <v>0.11600000000000001</v>
      </c>
      <c r="D61" s="14">
        <v>0.13</v>
      </c>
      <c r="E61" s="14">
        <v>0.14099999999999999</v>
      </c>
      <c r="F61" s="14">
        <v>0.16</v>
      </c>
      <c r="G61" s="14">
        <v>0.17399999999999999</v>
      </c>
      <c r="H61" s="14">
        <v>0.185</v>
      </c>
      <c r="I61" s="14">
        <v>0.19500000000000001</v>
      </c>
      <c r="J61" s="12"/>
    </row>
    <row r="62" spans="1:13" ht="21.75">
      <c r="A62" s="73"/>
      <c r="B62" s="14" t="s">
        <v>58</v>
      </c>
      <c r="C62" s="14">
        <v>0.25</v>
      </c>
      <c r="D62" s="14">
        <v>0.27800000000000002</v>
      </c>
      <c r="E62" s="14">
        <v>0.30099999999999999</v>
      </c>
      <c r="F62" s="14">
        <v>0.33800000000000002</v>
      </c>
      <c r="G62" s="14">
        <v>0.36599999999999999</v>
      </c>
      <c r="H62" s="14">
        <v>0.38800000000000001</v>
      </c>
      <c r="I62" s="14">
        <v>0.40799999999999997</v>
      </c>
      <c r="J62" s="12"/>
      <c r="K62" s="12"/>
    </row>
    <row r="63" spans="1:13" ht="18.75">
      <c r="A63" s="73" t="s">
        <v>41</v>
      </c>
      <c r="B63" s="14" t="s">
        <v>57</v>
      </c>
      <c r="C63" s="14">
        <v>0.10199999999999999</v>
      </c>
      <c r="D63" s="14">
        <v>0.11600000000000001</v>
      </c>
      <c r="E63" s="14">
        <v>0.127</v>
      </c>
      <c r="F63" s="14">
        <v>0.14599999999999999</v>
      </c>
      <c r="G63" s="14">
        <v>0.16</v>
      </c>
      <c r="H63" s="14">
        <v>0.17100000000000001</v>
      </c>
      <c r="I63" s="14">
        <v>0.18099999999999999</v>
      </c>
      <c r="J63" s="12"/>
      <c r="K63" s="12"/>
    </row>
    <row r="64" spans="1:13" ht="21.75">
      <c r="A64" s="73"/>
      <c r="B64" s="14" t="s">
        <v>58</v>
      </c>
      <c r="C64" s="14">
        <v>0.218</v>
      </c>
      <c r="D64" s="14">
        <v>0.246</v>
      </c>
      <c r="E64" s="14">
        <v>0.26800000000000002</v>
      </c>
      <c r="F64" s="14">
        <v>0.30599999999999999</v>
      </c>
      <c r="G64" s="14">
        <v>0.33400000000000002</v>
      </c>
      <c r="H64" s="14">
        <v>0.35599999999999998</v>
      </c>
      <c r="I64" s="14">
        <v>0.376</v>
      </c>
      <c r="J64" s="12"/>
      <c r="K64" s="12"/>
    </row>
    <row r="65" spans="1:11" ht="18.75">
      <c r="A65" s="73" t="s">
        <v>43</v>
      </c>
      <c r="B65" s="14" t="s">
        <v>57</v>
      </c>
      <c r="C65" s="14">
        <v>9.0399999999999994E-2</v>
      </c>
      <c r="D65" s="14">
        <v>0.104</v>
      </c>
      <c r="E65" s="14">
        <v>0.11600000000000001</v>
      </c>
      <c r="F65" s="14">
        <v>0.13400000000000001</v>
      </c>
      <c r="G65" s="14">
        <v>0.14799999999999999</v>
      </c>
      <c r="H65" s="14">
        <v>0.16</v>
      </c>
      <c r="I65" s="14">
        <v>0.16900000000000001</v>
      </c>
      <c r="J65" s="12"/>
      <c r="K65" s="12"/>
    </row>
    <row r="66" spans="1:11" ht="21.75">
      <c r="A66" s="73"/>
      <c r="B66" s="14" t="s">
        <v>58</v>
      </c>
      <c r="C66" s="14">
        <v>0.20599999999999999</v>
      </c>
      <c r="D66" s="14">
        <v>0.23400000000000001</v>
      </c>
      <c r="E66" s="14">
        <v>0.25700000000000001</v>
      </c>
      <c r="F66" s="14">
        <v>0.29399999999999998</v>
      </c>
      <c r="G66" s="14">
        <v>0.32200000000000001</v>
      </c>
      <c r="H66" s="14">
        <v>0.34499999999999997</v>
      </c>
      <c r="I66" s="14">
        <v>0.36399999999999999</v>
      </c>
      <c r="J66" s="12"/>
      <c r="K66" s="12"/>
    </row>
    <row r="67" spans="1:11" ht="18.75">
      <c r="A67" s="73" t="s">
        <v>45</v>
      </c>
      <c r="B67" s="14" t="s">
        <v>57</v>
      </c>
      <c r="C67" s="14">
        <v>0.13400000000000001</v>
      </c>
      <c r="D67" s="14">
        <v>0.14799999999999999</v>
      </c>
      <c r="E67" s="14">
        <v>0.16</v>
      </c>
      <c r="F67" s="14">
        <v>0.17799999999999999</v>
      </c>
      <c r="G67" s="14">
        <v>0.192</v>
      </c>
      <c r="H67" s="14">
        <v>0.20300000000000001</v>
      </c>
      <c r="I67" s="14">
        <v>0.21299999999999999</v>
      </c>
      <c r="J67" s="12"/>
      <c r="K67" s="12"/>
    </row>
    <row r="68" spans="1:11" ht="21.75">
      <c r="A68" s="73"/>
      <c r="B68" s="14" t="s">
        <v>58</v>
      </c>
      <c r="C68" s="14">
        <v>0.26800000000000002</v>
      </c>
      <c r="D68" s="14">
        <v>0.29599999999999999</v>
      </c>
      <c r="E68" s="14">
        <v>0.32</v>
      </c>
      <c r="F68" s="14">
        <v>0.35599999999999998</v>
      </c>
      <c r="G68" s="14">
        <v>0.38400000000000001</v>
      </c>
      <c r="H68" s="14">
        <v>0.40600000000000003</v>
      </c>
      <c r="I68" s="14">
        <v>0.42599999999999999</v>
      </c>
      <c r="J68" s="12"/>
      <c r="K68" s="12"/>
    </row>
    <row r="69" spans="1:11" ht="18.75">
      <c r="A69" s="73" t="s">
        <v>47</v>
      </c>
      <c r="B69" s="14" t="s">
        <v>57</v>
      </c>
      <c r="C69" s="14">
        <v>0.11600000000000001</v>
      </c>
      <c r="D69" s="14">
        <v>0.13</v>
      </c>
      <c r="E69" s="14">
        <v>0.14099999999999999</v>
      </c>
      <c r="F69" s="14">
        <v>0.16</v>
      </c>
      <c r="G69" s="14">
        <v>0.17399999999999999</v>
      </c>
      <c r="H69" s="14">
        <v>0.185</v>
      </c>
      <c r="I69" s="14">
        <v>0.19500000000000001</v>
      </c>
    </row>
    <row r="70" spans="1:11" ht="21.75">
      <c r="A70" s="73"/>
      <c r="B70" s="14" t="s">
        <v>58</v>
      </c>
      <c r="C70" s="14">
        <v>0.23200000000000001</v>
      </c>
      <c r="D70" s="14">
        <v>0.26</v>
      </c>
      <c r="E70" s="14">
        <v>0.28199999999999997</v>
      </c>
      <c r="F70" s="14">
        <v>0.32</v>
      </c>
      <c r="G70" s="14">
        <v>0.34799999999999998</v>
      </c>
      <c r="H70" s="14">
        <v>0.37</v>
      </c>
      <c r="I70" s="14">
        <v>0.39</v>
      </c>
    </row>
    <row r="71" spans="1:11" ht="18.75">
      <c r="A71" s="71" t="s">
        <v>49</v>
      </c>
      <c r="B71" s="14" t="s">
        <v>57</v>
      </c>
      <c r="C71" s="14">
        <v>0.10199999999999999</v>
      </c>
      <c r="D71" s="14">
        <v>0.11600000000000001</v>
      </c>
      <c r="E71" s="14">
        <v>0.127</v>
      </c>
      <c r="F71" s="14">
        <v>0.14599999999999999</v>
      </c>
      <c r="G71" s="14">
        <v>0.16</v>
      </c>
      <c r="H71" s="14">
        <v>0.17100000000000001</v>
      </c>
      <c r="I71" s="14">
        <v>0.18099999999999999</v>
      </c>
    </row>
    <row r="72" spans="1:11" ht="21.75">
      <c r="A72" s="71"/>
      <c r="B72" s="14" t="s">
        <v>58</v>
      </c>
      <c r="C72" s="14">
        <v>0.218</v>
      </c>
      <c r="D72" s="14">
        <v>0.246</v>
      </c>
      <c r="E72" s="14">
        <v>0.26800000000000002</v>
      </c>
      <c r="F72" s="14">
        <v>0.30599999999999999</v>
      </c>
      <c r="G72" s="14">
        <v>0.33400000000000002</v>
      </c>
      <c r="H72" s="14">
        <v>0.35599999999999998</v>
      </c>
      <c r="I72" s="14">
        <v>0.376</v>
      </c>
    </row>
    <row r="73" spans="1:11" ht="18.75">
      <c r="A73" s="73" t="s">
        <v>50</v>
      </c>
      <c r="B73" s="14" t="s">
        <v>57</v>
      </c>
      <c r="C73" s="14">
        <v>9.0399999999999994E-2</v>
      </c>
      <c r="D73" s="14">
        <v>0.104</v>
      </c>
      <c r="E73" s="14">
        <v>0.11600000000000001</v>
      </c>
      <c r="F73" s="14">
        <v>0.13400000000000001</v>
      </c>
      <c r="G73" s="14">
        <v>0.14799999999999999</v>
      </c>
      <c r="H73" s="14">
        <v>0.16</v>
      </c>
      <c r="I73" s="14">
        <v>0.16900000000000001</v>
      </c>
    </row>
    <row r="74" spans="1:11" ht="21.75">
      <c r="A74" s="73"/>
      <c r="B74" s="14" t="s">
        <v>58</v>
      </c>
      <c r="C74" s="14">
        <v>0.20599999999999999</v>
      </c>
      <c r="D74" s="14">
        <v>0.23400000000000001</v>
      </c>
      <c r="E74" s="14">
        <v>0.25700000000000001</v>
      </c>
      <c r="F74" s="14">
        <v>0.29399999999999998</v>
      </c>
      <c r="G74" s="14">
        <v>0.32200000000000001</v>
      </c>
      <c r="H74" s="14">
        <v>0.34499999999999997</v>
      </c>
      <c r="I74" s="14">
        <v>0.36399999999999999</v>
      </c>
    </row>
    <row r="75" spans="1:11" ht="18.75">
      <c r="A75" s="12"/>
      <c r="B75" s="13"/>
      <c r="C75" s="12"/>
      <c r="D75" s="12"/>
      <c r="E75" s="12"/>
      <c r="F75" s="12"/>
      <c r="G75" s="12"/>
      <c r="H75" s="12"/>
    </row>
    <row r="77" spans="1:11" ht="18.75">
      <c r="A77" s="12"/>
      <c r="B77" s="13"/>
      <c r="C77" s="12"/>
      <c r="D77" s="12"/>
      <c r="E77" s="12"/>
      <c r="F77" s="12"/>
      <c r="G77" s="12"/>
      <c r="H77" s="12"/>
    </row>
    <row r="78" spans="1:11" ht="18.75">
      <c r="A78" s="12"/>
      <c r="B78" s="13"/>
      <c r="C78" s="12"/>
      <c r="D78" s="12"/>
      <c r="E78" s="12"/>
      <c r="F78" s="12"/>
      <c r="G78" s="12"/>
      <c r="H78" s="12"/>
    </row>
    <row r="79" spans="1:11" ht="18.75">
      <c r="A79" s="12"/>
      <c r="B79" s="13"/>
      <c r="C79" s="12"/>
      <c r="D79" s="12"/>
      <c r="E79" s="12"/>
      <c r="F79" s="12"/>
      <c r="G79" s="12"/>
      <c r="H79" s="12"/>
    </row>
    <row r="80" spans="1:11" ht="18.75">
      <c r="A80" s="12"/>
      <c r="B80" s="13"/>
      <c r="C80" s="12"/>
      <c r="D80" s="12"/>
      <c r="E80" s="12"/>
      <c r="F80" s="12"/>
      <c r="G80" s="12"/>
      <c r="H80" s="12"/>
    </row>
    <row r="100" spans="1:12" ht="18.75">
      <c r="A100" s="71" t="s">
        <v>65</v>
      </c>
      <c r="B100" s="71"/>
      <c r="C100" s="71"/>
      <c r="D100" s="71"/>
      <c r="E100" s="71"/>
      <c r="F100" s="71"/>
      <c r="G100" s="71"/>
      <c r="H100" s="71"/>
      <c r="I100" s="71"/>
      <c r="J100" s="2"/>
    </row>
    <row r="101" spans="1:12" ht="18.75">
      <c r="A101" s="70" t="s">
        <v>60</v>
      </c>
      <c r="B101" s="71" t="s">
        <v>61</v>
      </c>
      <c r="C101" s="71"/>
      <c r="D101" s="71"/>
      <c r="E101" s="71"/>
      <c r="F101" s="71" t="s">
        <v>62</v>
      </c>
      <c r="G101" s="71"/>
      <c r="H101" s="71"/>
      <c r="I101" s="71"/>
      <c r="J101" s="2"/>
    </row>
    <row r="102" spans="1:12" ht="21.75">
      <c r="A102" s="70"/>
      <c r="B102" s="14" t="s">
        <v>25</v>
      </c>
      <c r="C102" s="14" t="s">
        <v>63</v>
      </c>
      <c r="D102" s="14" t="s">
        <v>57</v>
      </c>
      <c r="E102" s="14" t="s">
        <v>64</v>
      </c>
      <c r="F102" s="14" t="s">
        <v>25</v>
      </c>
      <c r="G102" s="14" t="s">
        <v>63</v>
      </c>
      <c r="H102" s="14" t="s">
        <v>57</v>
      </c>
      <c r="I102" s="14" t="s">
        <v>64</v>
      </c>
      <c r="J102" s="2"/>
    </row>
    <row r="103" spans="1:12" ht="18.75">
      <c r="A103" s="3">
        <v>250</v>
      </c>
      <c r="B103" s="3">
        <v>0.1075</v>
      </c>
      <c r="C103" s="3">
        <v>0.2472</v>
      </c>
      <c r="D103" s="3">
        <v>4.7199999999999999E-2</v>
      </c>
      <c r="E103" s="3">
        <v>0.1086</v>
      </c>
      <c r="F103" s="3"/>
      <c r="G103" s="3"/>
      <c r="H103" s="3"/>
      <c r="I103" s="3"/>
      <c r="J103" s="2"/>
    </row>
    <row r="104" spans="1:12" ht="18.75">
      <c r="A104" s="3">
        <v>400</v>
      </c>
      <c r="B104" s="3">
        <v>8.0600000000000005E-2</v>
      </c>
      <c r="C104" s="3">
        <v>0.18540000000000001</v>
      </c>
      <c r="D104" s="3">
        <v>4.5999999999999999E-2</v>
      </c>
      <c r="E104" s="3">
        <v>0.10580000000000001</v>
      </c>
      <c r="F104" s="3"/>
      <c r="G104" s="3"/>
      <c r="H104" s="3"/>
      <c r="I104" s="3"/>
      <c r="J104" s="2"/>
    </row>
    <row r="105" spans="1:12" ht="18.75">
      <c r="A105" s="3">
        <v>630</v>
      </c>
      <c r="B105" s="3">
        <v>8.3099999999999993E-2</v>
      </c>
      <c r="C105" s="3">
        <v>0.19120000000000001</v>
      </c>
      <c r="D105" s="3">
        <v>3.8199999999999998E-2</v>
      </c>
      <c r="E105" s="3">
        <v>8.7599999999999997E-2</v>
      </c>
      <c r="F105" s="3">
        <v>0.11260000000000001</v>
      </c>
      <c r="G105" s="3">
        <v>0.25890000000000002</v>
      </c>
      <c r="H105" s="3">
        <v>3.32E-2</v>
      </c>
      <c r="I105" s="3">
        <v>7.6399999999999996E-2</v>
      </c>
      <c r="J105" s="2"/>
    </row>
    <row r="106" spans="1:12" ht="18.75">
      <c r="A106" s="3">
        <v>800</v>
      </c>
      <c r="B106" s="3">
        <v>6.9900000000000004E-2</v>
      </c>
      <c r="C106" s="3">
        <v>0.1608</v>
      </c>
      <c r="D106" s="3">
        <v>3.32E-2</v>
      </c>
      <c r="E106" s="3">
        <v>7.6399999999999996E-2</v>
      </c>
      <c r="F106" s="3">
        <v>8.4699999999999998E-2</v>
      </c>
      <c r="G106" s="3">
        <v>0.19489999999999999</v>
      </c>
      <c r="H106" s="3">
        <v>2.64E-2</v>
      </c>
      <c r="I106" s="3">
        <v>6.0699999999999997E-2</v>
      </c>
      <c r="J106" s="2"/>
    </row>
    <row r="107" spans="1:12" ht="18.75">
      <c r="A107" s="3">
        <v>1000</v>
      </c>
      <c r="B107" s="3">
        <v>5.3400000000000003E-2</v>
      </c>
      <c r="C107" s="3">
        <v>0.1229</v>
      </c>
      <c r="D107" s="3">
        <v>2.64E-2</v>
      </c>
      <c r="E107" s="3">
        <v>6.0699999999999997E-2</v>
      </c>
      <c r="F107" s="3">
        <v>6.2300000000000001E-2</v>
      </c>
      <c r="G107" s="3">
        <v>0.14330000000000001</v>
      </c>
      <c r="H107" s="3">
        <v>2.0199999999999999E-2</v>
      </c>
      <c r="I107" s="3">
        <v>4.65E-2</v>
      </c>
      <c r="J107" s="2"/>
    </row>
    <row r="108" spans="1:12" ht="18.75">
      <c r="A108" s="3">
        <v>1250</v>
      </c>
      <c r="B108" s="3">
        <v>4.0099999999999997E-2</v>
      </c>
      <c r="C108" s="3">
        <v>9.2200000000000004E-2</v>
      </c>
      <c r="D108" s="3">
        <v>2.0199999999999999E-2</v>
      </c>
      <c r="E108" s="3">
        <v>4.65E-2</v>
      </c>
      <c r="F108" s="3">
        <v>5.0200000000000002E-2</v>
      </c>
      <c r="G108" s="3">
        <v>0.1153</v>
      </c>
      <c r="H108" s="3">
        <v>1.6400000000000001E-2</v>
      </c>
      <c r="I108" s="3">
        <v>3.7699999999999997E-2</v>
      </c>
      <c r="J108" s="2"/>
    </row>
    <row r="109" spans="1:12" ht="18.75">
      <c r="A109" s="3">
        <v>1600</v>
      </c>
      <c r="B109" s="3">
        <v>3.0599999999999999E-2</v>
      </c>
      <c r="C109" s="3">
        <v>7.0499999999999993E-2</v>
      </c>
      <c r="D109" s="3">
        <v>1.55E-2</v>
      </c>
      <c r="E109" s="3">
        <v>3.5700000000000003E-2</v>
      </c>
      <c r="F109" s="3">
        <v>3.2399999999999998E-2</v>
      </c>
      <c r="G109" s="3">
        <v>7.4499999999999997E-2</v>
      </c>
      <c r="H109" s="3">
        <v>1.5900000000000001E-2</v>
      </c>
      <c r="I109" s="3">
        <v>3.6600000000000001E-2</v>
      </c>
      <c r="J109" s="2"/>
    </row>
    <row r="110" spans="1:12" ht="18.75">
      <c r="A110" s="3">
        <v>1800</v>
      </c>
      <c r="B110" s="3">
        <v>2.7300000000000001E-2</v>
      </c>
      <c r="C110" s="3">
        <v>6.2899999999999998E-2</v>
      </c>
      <c r="D110" s="3">
        <v>1.38E-2</v>
      </c>
      <c r="E110" s="3">
        <v>3.1699999999999999E-2</v>
      </c>
      <c r="F110" s="3">
        <v>2.6800000000000001E-2</v>
      </c>
      <c r="G110" s="3">
        <v>6.1600000000000002E-2</v>
      </c>
      <c r="H110" s="3">
        <v>1.7899999999999999E-2</v>
      </c>
      <c r="I110" s="3">
        <v>4.1200000000000001E-2</v>
      </c>
      <c r="J110" s="2"/>
      <c r="L110" t="s">
        <v>124</v>
      </c>
    </row>
    <row r="111" spans="1:12" ht="18.75">
      <c r="A111" s="3">
        <v>2000</v>
      </c>
      <c r="B111" s="3">
        <v>2.3900000000000001E-2</v>
      </c>
      <c r="C111" s="3">
        <v>5.5E-2</v>
      </c>
      <c r="D111" s="3">
        <v>1.1900000000000001E-2</v>
      </c>
      <c r="E111" s="3">
        <v>2.7400000000000001E-2</v>
      </c>
      <c r="F111" s="3">
        <v>2.3199999999999998E-2</v>
      </c>
      <c r="G111" s="3">
        <v>5.3499999999999999E-2</v>
      </c>
      <c r="H111" s="3">
        <v>1.55E-2</v>
      </c>
      <c r="I111" s="3">
        <v>3.5700000000000003E-2</v>
      </c>
      <c r="J111" s="2"/>
      <c r="L111" t="s">
        <v>125</v>
      </c>
    </row>
    <row r="112" spans="1:12" ht="18.75">
      <c r="A112" s="3">
        <v>2500</v>
      </c>
      <c r="B112" s="3">
        <v>1.9599999999999999E-2</v>
      </c>
      <c r="C112" s="3">
        <v>4.5100000000000001E-2</v>
      </c>
      <c r="D112" s="3">
        <v>9.7000000000000003E-3</v>
      </c>
      <c r="E112" s="3">
        <v>2.23E-2</v>
      </c>
      <c r="F112" s="3">
        <v>1.9E-2</v>
      </c>
      <c r="G112" s="3">
        <v>4.3700000000000003E-2</v>
      </c>
      <c r="H112" s="3">
        <v>1.2699999999999999E-2</v>
      </c>
      <c r="I112" s="3">
        <v>2.92E-2</v>
      </c>
      <c r="J112" s="2"/>
    </row>
    <row r="113" spans="1:11" ht="18.75">
      <c r="A113" s="3">
        <v>3000</v>
      </c>
      <c r="B113" s="3">
        <v>1.66E-2</v>
      </c>
      <c r="C113" s="3">
        <v>3.8199999999999998E-2</v>
      </c>
      <c r="D113" s="3">
        <v>8.2000000000000007E-3</v>
      </c>
      <c r="E113" s="3">
        <v>1.89E-2</v>
      </c>
      <c r="F113" s="3">
        <v>1.6400000000000001E-2</v>
      </c>
      <c r="G113" s="3">
        <v>3.7699999999999997E-2</v>
      </c>
      <c r="H113" s="3">
        <v>1.0800000000000001E-2</v>
      </c>
      <c r="I113" s="3">
        <v>2.4799999999999999E-2</v>
      </c>
      <c r="J113" s="2"/>
    </row>
    <row r="114" spans="1:11" ht="18.75">
      <c r="A114" s="3">
        <v>3500</v>
      </c>
      <c r="B114" s="3">
        <v>1.37E-2</v>
      </c>
      <c r="C114" s="3">
        <v>3.1399999999999997E-2</v>
      </c>
      <c r="D114" s="3">
        <v>6.8999999999999999E-3</v>
      </c>
      <c r="E114" s="3">
        <v>1.5900000000000001E-2</v>
      </c>
      <c r="F114" s="3">
        <v>1.34E-2</v>
      </c>
      <c r="G114" s="3">
        <v>3.0800000000000001E-2</v>
      </c>
      <c r="H114" s="3">
        <v>8.8999999999999999E-3</v>
      </c>
      <c r="I114" s="3">
        <v>2.0500000000000001E-2</v>
      </c>
      <c r="J114" s="2"/>
    </row>
    <row r="115" spans="1:11" ht="18.75">
      <c r="A115" s="3">
        <v>4000</v>
      </c>
      <c r="B115" s="3">
        <v>1.2E-2</v>
      </c>
      <c r="C115" s="3">
        <v>2.75E-2</v>
      </c>
      <c r="D115" s="3">
        <v>6.0000000000000001E-3</v>
      </c>
      <c r="E115" s="3">
        <v>1.38E-2</v>
      </c>
      <c r="F115" s="3">
        <v>1.17E-2</v>
      </c>
      <c r="G115" s="3">
        <v>2.69E-2</v>
      </c>
      <c r="H115" s="3">
        <v>7.7999999999999996E-3</v>
      </c>
      <c r="I115" s="3">
        <v>1.7899999999999999E-2</v>
      </c>
      <c r="J115" s="2"/>
    </row>
    <row r="116" spans="1:11" ht="18.75">
      <c r="A116" s="3">
        <v>4500</v>
      </c>
      <c r="B116" s="3">
        <v>9.2999999999999992E-3</v>
      </c>
      <c r="C116" s="3">
        <v>2.1499999999999998E-2</v>
      </c>
      <c r="D116" s="3">
        <v>6.8999999999999999E-3</v>
      </c>
      <c r="E116" s="16">
        <v>1.5900000000000001E-2</v>
      </c>
      <c r="F116" s="3">
        <v>9.4999999999999998E-3</v>
      </c>
      <c r="G116" s="3">
        <v>2.1899999999999999E-2</v>
      </c>
      <c r="H116" s="3">
        <v>6.4000000000000003E-3</v>
      </c>
      <c r="I116" s="3">
        <v>1.47E-2</v>
      </c>
      <c r="J116" s="2"/>
    </row>
    <row r="117" spans="1:11" ht="18.75">
      <c r="A117" s="3">
        <v>5000</v>
      </c>
      <c r="B117" s="3">
        <v>7.7000000000000002E-3</v>
      </c>
      <c r="C117" s="3">
        <v>1.78E-2</v>
      </c>
      <c r="D117" s="3">
        <v>7.7999999999999996E-3</v>
      </c>
      <c r="E117" s="3">
        <v>1.7899999999999999E-2</v>
      </c>
      <c r="F117" s="3">
        <v>8.2000000000000007E-3</v>
      </c>
      <c r="G117" s="3">
        <v>1.9E-2</v>
      </c>
      <c r="H117" s="3">
        <v>7.1000000000000004E-3</v>
      </c>
      <c r="I117" s="3">
        <v>1.6299999999999999E-2</v>
      </c>
      <c r="J117" s="2"/>
    </row>
    <row r="118" spans="1:11" ht="18.75">
      <c r="A118" s="3">
        <v>6000</v>
      </c>
      <c r="B118" s="3"/>
      <c r="C118" s="3"/>
      <c r="D118" s="3"/>
      <c r="E118" s="3"/>
      <c r="F118" s="3">
        <v>7.1000000000000004E-3</v>
      </c>
      <c r="G118" s="3">
        <v>1.6299999999999999E-2</v>
      </c>
      <c r="H118" s="3">
        <v>6.0000000000000001E-3</v>
      </c>
      <c r="I118" s="3">
        <v>1.38E-2</v>
      </c>
      <c r="J118" s="2"/>
    </row>
    <row r="119" spans="1:11" ht="18.75">
      <c r="A119" s="2"/>
      <c r="B119" s="8"/>
      <c r="C119" s="2"/>
      <c r="D119" s="2"/>
      <c r="E119" s="2"/>
      <c r="F119" s="2"/>
      <c r="G119" s="2"/>
      <c r="H119" s="2"/>
      <c r="I119" s="2"/>
      <c r="J119" s="2"/>
    </row>
    <row r="120" spans="1:11" ht="18.75">
      <c r="A120" s="2"/>
      <c r="B120" s="8"/>
      <c r="C120" s="2"/>
      <c r="D120" s="2"/>
      <c r="E120" s="2"/>
      <c r="F120" s="2"/>
      <c r="G120" s="2"/>
      <c r="H120" s="2"/>
      <c r="I120" s="2"/>
      <c r="J120" s="2"/>
    </row>
    <row r="121" spans="1:11" ht="18.75">
      <c r="A121" s="2"/>
      <c r="B121" s="8"/>
      <c r="C121" s="2"/>
      <c r="D121" s="2"/>
      <c r="E121" s="2"/>
      <c r="F121" s="2"/>
      <c r="G121" s="2"/>
      <c r="H121" s="2"/>
      <c r="I121" s="2"/>
      <c r="J121" s="2"/>
    </row>
    <row r="122" spans="1:11" ht="18.75">
      <c r="A122" s="2"/>
      <c r="B122" s="8"/>
      <c r="C122" s="2">
        <v>800</v>
      </c>
      <c r="D122" s="2"/>
      <c r="E122" s="2"/>
      <c r="F122" s="2"/>
      <c r="G122" s="2"/>
      <c r="H122" s="2"/>
      <c r="I122" s="2"/>
      <c r="J122" s="2"/>
      <c r="K122" s="19" t="s">
        <v>127</v>
      </c>
    </row>
    <row r="123" spans="1:11" ht="18.75">
      <c r="A123" s="2"/>
      <c r="B123" s="8"/>
      <c r="C123" s="2">
        <f>INDEX(B103:E118,MATCH(C122,母线额定电流,0),2)</f>
        <v>0.1608</v>
      </c>
      <c r="D123" s="2"/>
      <c r="E123" s="2"/>
      <c r="F123" s="2"/>
      <c r="G123" s="2"/>
      <c r="H123" s="2"/>
      <c r="I123" s="2"/>
      <c r="J123" s="2"/>
    </row>
    <row r="124" spans="1:11" ht="18.75">
      <c r="A124" s="2"/>
      <c r="B124" s="8"/>
      <c r="C124" s="2"/>
      <c r="D124" s="2"/>
      <c r="E124" s="2"/>
      <c r="F124" s="2"/>
      <c r="G124" s="2"/>
      <c r="H124" s="2"/>
      <c r="I124" s="2"/>
      <c r="J124" s="2"/>
    </row>
    <row r="125" spans="1:11" ht="18.75">
      <c r="A125" s="2"/>
      <c r="B125" s="8"/>
      <c r="C125" s="2"/>
      <c r="D125" s="2"/>
      <c r="E125" s="2"/>
      <c r="F125" s="2"/>
      <c r="G125" s="2"/>
      <c r="H125" s="2"/>
      <c r="I125" s="2"/>
      <c r="J125" s="2"/>
    </row>
    <row r="126" spans="1:11" ht="18.75">
      <c r="A126" s="2"/>
      <c r="B126" s="8"/>
      <c r="C126" s="2"/>
      <c r="D126" s="2"/>
      <c r="E126" s="2"/>
      <c r="F126" s="2"/>
      <c r="G126" s="2"/>
      <c r="H126" s="2"/>
      <c r="I126" s="2"/>
      <c r="J126" s="2"/>
    </row>
    <row r="127" spans="1:11" ht="18.75">
      <c r="A127" s="2"/>
      <c r="B127" s="8"/>
      <c r="C127" s="2"/>
      <c r="D127" s="2"/>
      <c r="E127" s="2"/>
      <c r="F127" s="2"/>
      <c r="G127" s="2"/>
      <c r="H127" s="2"/>
      <c r="I127" s="2"/>
      <c r="J127" s="2"/>
    </row>
    <row r="128" spans="1:11" ht="18.75">
      <c r="A128" s="2"/>
      <c r="B128" s="8"/>
      <c r="C128" s="2"/>
      <c r="D128" s="2"/>
      <c r="E128" s="2"/>
      <c r="F128" s="2"/>
      <c r="G128" s="2"/>
      <c r="H128" s="2"/>
      <c r="I128" s="2"/>
      <c r="J128" s="2"/>
    </row>
    <row r="129" spans="1:10" ht="18.75">
      <c r="A129" s="2"/>
      <c r="B129" s="8"/>
      <c r="C129" s="2"/>
      <c r="D129" s="2"/>
      <c r="E129" s="2"/>
      <c r="F129" s="2"/>
      <c r="G129" s="2"/>
      <c r="H129" s="2"/>
      <c r="I129" s="2"/>
      <c r="J129" s="2"/>
    </row>
  </sheetData>
  <sheetProtection password="CE28" sheet="1" objects="1" scenarios="1"/>
  <mergeCells count="30">
    <mergeCell ref="A53:A54"/>
    <mergeCell ref="A55:A56"/>
    <mergeCell ref="A57:A58"/>
    <mergeCell ref="A1:G1"/>
    <mergeCell ref="A41:A42"/>
    <mergeCell ref="B41:B42"/>
    <mergeCell ref="C41:I41"/>
    <mergeCell ref="A43:A44"/>
    <mergeCell ref="A45:A46"/>
    <mergeCell ref="A2:A4"/>
    <mergeCell ref="B2:C2"/>
    <mergeCell ref="D3:E3"/>
    <mergeCell ref="F3:G3"/>
    <mergeCell ref="D2:G2"/>
    <mergeCell ref="A71:A72"/>
    <mergeCell ref="A73:A74"/>
    <mergeCell ref="A40:I40"/>
    <mergeCell ref="A101:A102"/>
    <mergeCell ref="B101:E101"/>
    <mergeCell ref="F101:I101"/>
    <mergeCell ref="A100:I100"/>
    <mergeCell ref="A59:A60"/>
    <mergeCell ref="A61:A62"/>
    <mergeCell ref="A63:A64"/>
    <mergeCell ref="A65:A66"/>
    <mergeCell ref="A67:A68"/>
    <mergeCell ref="A69:A70"/>
    <mergeCell ref="A47:A48"/>
    <mergeCell ref="A49:A50"/>
    <mergeCell ref="A51:A5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>
  <dimension ref="A1:P41"/>
  <sheetViews>
    <sheetView topLeftCell="B1" workbookViewId="0">
      <selection activeCell="F30" sqref="F30"/>
    </sheetView>
  </sheetViews>
  <sheetFormatPr defaultRowHeight="13.5"/>
  <cols>
    <col min="1" max="1" width="13" style="20" customWidth="1"/>
    <col min="2" max="2" width="10.5" style="26" customWidth="1"/>
    <col min="3" max="3" width="10.125" style="26" customWidth="1"/>
    <col min="4" max="4" width="11.875" style="26" customWidth="1"/>
    <col min="5" max="5" width="13.625" style="26" customWidth="1"/>
    <col min="6" max="6" width="13.875" style="26" customWidth="1"/>
    <col min="7" max="7" width="14.75" style="26" customWidth="1"/>
    <col min="8" max="8" width="13.375" style="26" customWidth="1"/>
    <col min="9" max="9" width="16.375" style="26" customWidth="1"/>
    <col min="10" max="11" width="9" style="26"/>
  </cols>
  <sheetData>
    <row r="1" spans="1:16" ht="18.75">
      <c r="A1" s="71" t="s">
        <v>130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2"/>
      <c r="M1" s="2"/>
      <c r="N1" s="2"/>
      <c r="O1" s="2"/>
      <c r="P1" s="2"/>
    </row>
    <row r="2" spans="1:16" ht="18.75">
      <c r="A2" s="70" t="s">
        <v>131</v>
      </c>
      <c r="B2" s="70" t="s">
        <v>141</v>
      </c>
      <c r="C2" s="70"/>
      <c r="D2" s="70"/>
      <c r="E2" s="70"/>
      <c r="F2" s="70"/>
      <c r="G2" s="70"/>
      <c r="H2" s="70"/>
      <c r="I2" s="70"/>
      <c r="J2" s="71" t="s">
        <v>140</v>
      </c>
      <c r="K2" s="71"/>
      <c r="L2" s="2"/>
      <c r="M2" s="2"/>
      <c r="N2" s="2"/>
      <c r="O2" s="2"/>
      <c r="P2" s="2"/>
    </row>
    <row r="3" spans="1:16" ht="18.75">
      <c r="A3" s="70"/>
      <c r="B3" s="71" t="s">
        <v>132</v>
      </c>
      <c r="C3" s="71"/>
      <c r="D3" s="71"/>
      <c r="E3" s="71"/>
      <c r="F3" s="71" t="s">
        <v>133</v>
      </c>
      <c r="G3" s="71"/>
      <c r="H3" s="71"/>
      <c r="I3" s="71"/>
      <c r="J3" s="71" t="s">
        <v>138</v>
      </c>
      <c r="K3" s="71" t="s">
        <v>139</v>
      </c>
      <c r="L3" s="2"/>
      <c r="M3" s="2"/>
      <c r="N3" s="2"/>
      <c r="O3" s="2"/>
      <c r="P3" s="2"/>
    </row>
    <row r="4" spans="1:16" ht="18.75">
      <c r="A4" s="70"/>
      <c r="B4" s="70" t="s">
        <v>134</v>
      </c>
      <c r="C4" s="70"/>
      <c r="D4" s="71" t="s">
        <v>135</v>
      </c>
      <c r="E4" s="71"/>
      <c r="F4" s="71" t="s">
        <v>134</v>
      </c>
      <c r="G4" s="71"/>
      <c r="H4" s="71" t="s">
        <v>135</v>
      </c>
      <c r="I4" s="71"/>
      <c r="J4" s="71"/>
      <c r="K4" s="71"/>
      <c r="L4" s="2"/>
      <c r="M4" s="2"/>
      <c r="N4" s="2"/>
      <c r="O4" s="2"/>
      <c r="P4" s="2"/>
    </row>
    <row r="5" spans="1:16" ht="21.75">
      <c r="A5" s="70"/>
      <c r="B5" s="24" t="s">
        <v>136</v>
      </c>
      <c r="C5" s="24" t="s">
        <v>137</v>
      </c>
      <c r="D5" s="24" t="s">
        <v>136</v>
      </c>
      <c r="E5" s="24" t="s">
        <v>137</v>
      </c>
      <c r="F5" s="24" t="s">
        <v>136</v>
      </c>
      <c r="G5" s="24" t="s">
        <v>137</v>
      </c>
      <c r="H5" s="24" t="s">
        <v>136</v>
      </c>
      <c r="I5" s="24" t="s">
        <v>137</v>
      </c>
      <c r="J5" s="71"/>
      <c r="K5" s="71"/>
      <c r="L5" s="2"/>
      <c r="M5" s="2"/>
      <c r="N5" s="2"/>
      <c r="O5" s="2"/>
      <c r="P5" s="2"/>
    </row>
    <row r="6" spans="1:16" ht="18.75">
      <c r="A6" s="25">
        <v>1.5</v>
      </c>
      <c r="B6" s="25">
        <v>14.51</v>
      </c>
      <c r="C6" s="25"/>
      <c r="D6" s="25"/>
      <c r="E6" s="25"/>
      <c r="F6" s="25">
        <v>13.78</v>
      </c>
      <c r="G6" s="25"/>
      <c r="H6" s="25"/>
      <c r="I6" s="25"/>
      <c r="J6" s="25"/>
      <c r="K6" s="25"/>
      <c r="L6" s="2"/>
      <c r="M6" s="2"/>
      <c r="N6" s="2"/>
      <c r="O6" s="2"/>
      <c r="P6" s="2"/>
    </row>
    <row r="7" spans="1:16" ht="18.75">
      <c r="A7" s="25">
        <v>2.5</v>
      </c>
      <c r="B7" s="25">
        <v>8.89</v>
      </c>
      <c r="C7" s="25"/>
      <c r="D7" s="25">
        <v>14.64</v>
      </c>
      <c r="E7" s="25"/>
      <c r="F7" s="25">
        <v>8.44</v>
      </c>
      <c r="G7" s="25"/>
      <c r="H7" s="25">
        <v>13.85</v>
      </c>
      <c r="I7" s="25"/>
      <c r="J7" s="25"/>
      <c r="K7" s="25"/>
      <c r="L7" s="2"/>
      <c r="M7" s="2"/>
      <c r="N7" s="2"/>
      <c r="O7" s="2"/>
      <c r="P7" s="2"/>
    </row>
    <row r="8" spans="1:16" ht="18.75">
      <c r="A8" s="25">
        <v>4</v>
      </c>
      <c r="B8" s="25">
        <v>5.53</v>
      </c>
      <c r="C8" s="25">
        <v>14.42</v>
      </c>
      <c r="D8" s="25">
        <v>8.9700000000000006</v>
      </c>
      <c r="E8" s="25">
        <v>23.61</v>
      </c>
      <c r="F8" s="25">
        <v>5.25</v>
      </c>
      <c r="G8" s="25">
        <v>13.69</v>
      </c>
      <c r="H8" s="25">
        <v>8.48</v>
      </c>
      <c r="I8" s="25">
        <v>22.33</v>
      </c>
      <c r="J8" s="25">
        <v>9.8900000000000002E-2</v>
      </c>
      <c r="K8" s="25">
        <v>0.19900000000000001</v>
      </c>
      <c r="L8" s="2"/>
      <c r="M8" s="2"/>
      <c r="N8" s="2"/>
      <c r="O8" s="2"/>
      <c r="P8" s="2"/>
    </row>
    <row r="9" spans="1:16" ht="18.75">
      <c r="A9" s="25">
        <v>6</v>
      </c>
      <c r="B9" s="25">
        <v>3.7</v>
      </c>
      <c r="C9" s="25">
        <v>9.23</v>
      </c>
      <c r="D9" s="25">
        <v>5.58</v>
      </c>
      <c r="E9" s="25">
        <v>14.55</v>
      </c>
      <c r="F9" s="25">
        <v>3.51</v>
      </c>
      <c r="G9" s="25">
        <v>8.76</v>
      </c>
      <c r="H9" s="25">
        <v>5.28</v>
      </c>
      <c r="I9" s="25">
        <v>13.76</v>
      </c>
      <c r="J9" s="25">
        <v>9.3700000000000006E-2</v>
      </c>
      <c r="K9" s="25">
        <v>0.193</v>
      </c>
      <c r="L9" s="2"/>
      <c r="M9" s="2"/>
      <c r="N9" s="2"/>
      <c r="O9" s="2"/>
      <c r="P9" s="2"/>
    </row>
    <row r="10" spans="1:16" ht="18.75">
      <c r="A10" s="25">
        <v>10</v>
      </c>
      <c r="B10" s="25">
        <v>2.2000000000000002</v>
      </c>
      <c r="C10" s="25">
        <v>5.9</v>
      </c>
      <c r="D10" s="25">
        <v>3.73</v>
      </c>
      <c r="E10" s="25">
        <v>9.31</v>
      </c>
      <c r="F10" s="25">
        <v>2.08</v>
      </c>
      <c r="G10" s="25">
        <v>5.59</v>
      </c>
      <c r="H10" s="25">
        <v>3.53</v>
      </c>
      <c r="I10" s="25">
        <v>8.81</v>
      </c>
      <c r="J10" s="25">
        <v>8.43E-2</v>
      </c>
      <c r="K10" s="25">
        <v>0.17799999999999999</v>
      </c>
      <c r="L10" s="2"/>
      <c r="M10" s="2"/>
      <c r="N10" s="2"/>
      <c r="O10" s="2"/>
      <c r="P10" s="2"/>
    </row>
    <row r="11" spans="1:16" ht="18.75">
      <c r="A11" s="25">
        <v>16</v>
      </c>
      <c r="B11" s="25">
        <v>1.38</v>
      </c>
      <c r="C11" s="25">
        <v>3.58</v>
      </c>
      <c r="D11" s="25">
        <v>2.31</v>
      </c>
      <c r="E11" s="25">
        <v>6.04</v>
      </c>
      <c r="F11" s="25">
        <v>1.31</v>
      </c>
      <c r="G11" s="25">
        <v>3.39</v>
      </c>
      <c r="H11" s="25">
        <v>2.19</v>
      </c>
      <c r="I11" s="25">
        <v>5.72</v>
      </c>
      <c r="J11" s="25">
        <v>7.9899999999999999E-2</v>
      </c>
      <c r="K11" s="25">
        <v>0.16400000000000001</v>
      </c>
      <c r="L11" s="2"/>
      <c r="M11" s="2"/>
      <c r="N11" s="2"/>
      <c r="O11" s="2"/>
      <c r="P11" s="2"/>
    </row>
    <row r="12" spans="1:16" ht="18.75">
      <c r="A12" s="25">
        <v>25</v>
      </c>
      <c r="B12" s="25">
        <v>0.872</v>
      </c>
      <c r="C12" s="25">
        <v>2.25</v>
      </c>
      <c r="D12" s="25">
        <v>1.45</v>
      </c>
      <c r="E12" s="25">
        <v>3.76</v>
      </c>
      <c r="F12" s="25">
        <v>0.82799999999999996</v>
      </c>
      <c r="G12" s="25">
        <v>2.14</v>
      </c>
      <c r="H12" s="25">
        <v>1.37</v>
      </c>
      <c r="I12" s="25">
        <v>3.56</v>
      </c>
      <c r="J12" s="25">
        <v>7.9100000000000004E-2</v>
      </c>
      <c r="K12" s="25">
        <v>0.159</v>
      </c>
      <c r="L12" s="2"/>
      <c r="M12" s="2"/>
      <c r="N12" s="2"/>
      <c r="O12" s="2"/>
      <c r="P12" s="2"/>
    </row>
    <row r="13" spans="1:16" ht="18.75">
      <c r="A13" s="25">
        <v>35</v>
      </c>
      <c r="B13" s="25">
        <v>0.629</v>
      </c>
      <c r="C13" s="25">
        <v>2.0099999999999998</v>
      </c>
      <c r="D13" s="25">
        <v>1.05</v>
      </c>
      <c r="E13" s="25">
        <v>3.36</v>
      </c>
      <c r="F13" s="25">
        <v>0.59699999999999998</v>
      </c>
      <c r="G13" s="25">
        <v>1.91</v>
      </c>
      <c r="H13" s="25">
        <v>0.99399999999999999</v>
      </c>
      <c r="I13" s="25">
        <v>3.18</v>
      </c>
      <c r="J13" s="25">
        <v>7.5800000000000006E-2</v>
      </c>
      <c r="K13" s="25">
        <v>0.156</v>
      </c>
      <c r="L13" s="2"/>
      <c r="M13" s="2"/>
      <c r="N13" s="2"/>
      <c r="O13" s="2"/>
      <c r="P13" s="2"/>
    </row>
    <row r="14" spans="1:16" ht="18.75">
      <c r="A14" s="25">
        <v>50</v>
      </c>
      <c r="B14" s="25">
        <v>0.46400000000000002</v>
      </c>
      <c r="C14" s="25">
        <v>1.34</v>
      </c>
      <c r="D14" s="25">
        <v>0.77600000000000002</v>
      </c>
      <c r="E14" s="25">
        <v>2.23</v>
      </c>
      <c r="F14" s="25">
        <v>0.441</v>
      </c>
      <c r="G14" s="25">
        <v>1.27</v>
      </c>
      <c r="H14" s="25">
        <v>0.73399999999999999</v>
      </c>
      <c r="I14" s="25">
        <v>2.1</v>
      </c>
      <c r="J14" s="25">
        <v>7.5499999999999998E-2</v>
      </c>
      <c r="K14" s="25">
        <v>0.155</v>
      </c>
      <c r="L14" s="2"/>
      <c r="M14" s="2"/>
      <c r="N14" s="2"/>
      <c r="O14" s="2"/>
      <c r="P14" s="2"/>
    </row>
    <row r="15" spans="1:16" ht="18.75">
      <c r="A15" s="25">
        <v>70</v>
      </c>
      <c r="B15" s="25">
        <v>0.32200000000000001</v>
      </c>
      <c r="C15" s="25">
        <v>0.95099999999999996</v>
      </c>
      <c r="D15" s="25">
        <v>0.52400000000000002</v>
      </c>
      <c r="E15" s="25">
        <v>1.57</v>
      </c>
      <c r="F15" s="25">
        <v>0.30499999999999999</v>
      </c>
      <c r="G15" s="25">
        <v>0.90200000000000002</v>
      </c>
      <c r="H15" s="25">
        <v>0.496</v>
      </c>
      <c r="I15" s="25">
        <v>1.49</v>
      </c>
      <c r="J15" s="25">
        <v>7.3300000000000004E-2</v>
      </c>
      <c r="K15" s="25">
        <v>0.14899999999999999</v>
      </c>
      <c r="L15" s="2"/>
      <c r="M15" s="2"/>
      <c r="N15" s="2"/>
      <c r="O15" s="2"/>
      <c r="P15" s="2"/>
    </row>
    <row r="16" spans="1:16" ht="18.75">
      <c r="A16" s="25">
        <v>95</v>
      </c>
      <c r="B16" s="25">
        <v>0.23200000000000001</v>
      </c>
      <c r="C16" s="25">
        <v>0.69599999999999995</v>
      </c>
      <c r="D16" s="25">
        <v>0.38700000000000001</v>
      </c>
      <c r="E16" s="25">
        <v>1.163</v>
      </c>
      <c r="F16" s="25">
        <v>0.22</v>
      </c>
      <c r="G16" s="25">
        <v>0.66100000000000003</v>
      </c>
      <c r="H16" s="25">
        <v>0.36599999999999999</v>
      </c>
      <c r="I16" s="25">
        <v>1.1000000000000001</v>
      </c>
      <c r="J16" s="25">
        <v>7.2999999999999995E-2</v>
      </c>
      <c r="K16" s="25">
        <v>0.14849999999999999</v>
      </c>
      <c r="L16" s="2"/>
      <c r="M16" s="2"/>
      <c r="N16" s="2"/>
      <c r="O16" s="2"/>
      <c r="P16" s="2"/>
    </row>
    <row r="17" spans="1:16" ht="18.75">
      <c r="A17" s="25">
        <v>120</v>
      </c>
      <c r="B17" s="25">
        <v>0.184</v>
      </c>
      <c r="C17" s="25">
        <v>0.50600000000000001</v>
      </c>
      <c r="D17" s="25">
        <v>0.30599999999999999</v>
      </c>
      <c r="E17" s="25">
        <v>0.83</v>
      </c>
      <c r="F17" s="25">
        <v>0.17399999999999999</v>
      </c>
      <c r="G17" s="25">
        <v>0.47899999999999998</v>
      </c>
      <c r="H17" s="25">
        <v>0.28999999999999998</v>
      </c>
      <c r="I17" s="25">
        <v>0.78600000000000003</v>
      </c>
      <c r="J17" s="25">
        <v>7.1599999999999997E-2</v>
      </c>
      <c r="K17" s="25">
        <v>0.14499999999999999</v>
      </c>
      <c r="L17" s="2"/>
      <c r="M17" s="2"/>
      <c r="N17" s="2"/>
      <c r="O17" s="2"/>
      <c r="P17" s="2"/>
    </row>
    <row r="18" spans="1:16" ht="18.75">
      <c r="A18" s="25">
        <v>150</v>
      </c>
      <c r="B18" s="25">
        <v>0.14899999999999999</v>
      </c>
      <c r="C18" s="25">
        <v>0.47099999999999997</v>
      </c>
      <c r="D18" s="25">
        <v>0.249</v>
      </c>
      <c r="E18" s="25">
        <v>0.77300000000000002</v>
      </c>
      <c r="F18" s="25">
        <v>0.14099999999999999</v>
      </c>
      <c r="G18" s="25">
        <v>0.44600000000000001</v>
      </c>
      <c r="H18" s="25">
        <v>0.23599999999999999</v>
      </c>
      <c r="I18" s="25">
        <v>0.73199999999999998</v>
      </c>
      <c r="J18" s="25">
        <v>7.1400000000000005E-2</v>
      </c>
      <c r="K18" s="25">
        <v>0.14499999999999999</v>
      </c>
      <c r="L18" s="2"/>
      <c r="M18" s="2"/>
      <c r="N18" s="2"/>
      <c r="O18" s="2"/>
      <c r="P18" s="2"/>
    </row>
    <row r="19" spans="1:16" ht="18.75">
      <c r="A19" s="25">
        <v>185</v>
      </c>
      <c r="B19" s="25">
        <v>0.11899999999999999</v>
      </c>
      <c r="C19" s="25">
        <v>0.35099999999999998</v>
      </c>
      <c r="D19" s="25">
        <v>0.19800000000000001</v>
      </c>
      <c r="E19" s="25">
        <v>0.58499999999999996</v>
      </c>
      <c r="F19" s="25">
        <v>0.113</v>
      </c>
      <c r="G19" s="25">
        <v>0.33300000000000002</v>
      </c>
      <c r="H19" s="25">
        <v>0.188</v>
      </c>
      <c r="I19" s="25">
        <v>0.55400000000000005</v>
      </c>
      <c r="J19" s="25">
        <v>7.1300000000000002E-2</v>
      </c>
      <c r="K19" s="25">
        <v>0.14399999999999999</v>
      </c>
      <c r="L19" s="2"/>
      <c r="M19" s="2"/>
      <c r="N19" s="2"/>
      <c r="O19" s="2"/>
      <c r="P19" s="2"/>
    </row>
    <row r="20" spans="1:16" ht="18.75">
      <c r="A20" s="25">
        <v>240</v>
      </c>
      <c r="B20" s="25">
        <v>9.0499999999999997E-2</v>
      </c>
      <c r="C20" s="25">
        <v>0.27500000000000002</v>
      </c>
      <c r="D20" s="25">
        <v>0.151</v>
      </c>
      <c r="E20" s="25">
        <v>0.45700000000000002</v>
      </c>
      <c r="F20" s="25">
        <v>8.5900000000000004E-2</v>
      </c>
      <c r="G20" s="25">
        <v>0.26</v>
      </c>
      <c r="H20" s="25">
        <v>0.14299999999999999</v>
      </c>
      <c r="I20" s="25">
        <v>0.433</v>
      </c>
      <c r="J20" s="25">
        <v>7.1099999999999997E-2</v>
      </c>
      <c r="K20" s="25">
        <v>0.14299999999999999</v>
      </c>
      <c r="L20" s="2"/>
      <c r="M20" s="2"/>
      <c r="N20" s="2"/>
      <c r="O20" s="2"/>
      <c r="P20" s="2"/>
    </row>
    <row r="21" spans="1:16" ht="18.75">
      <c r="A21" s="25">
        <v>300</v>
      </c>
      <c r="B21" s="25">
        <v>7.2099999999999997E-2</v>
      </c>
      <c r="C21" s="25">
        <v>0.221</v>
      </c>
      <c r="D21" s="25">
        <v>0.121</v>
      </c>
      <c r="E21" s="25">
        <v>0.37</v>
      </c>
      <c r="F21" s="25">
        <v>6.8500000000000005E-2</v>
      </c>
      <c r="G21" s="25">
        <v>0.21</v>
      </c>
      <c r="H21" s="25">
        <v>0.115</v>
      </c>
      <c r="I21" s="25">
        <v>0.35099999999999998</v>
      </c>
      <c r="J21" s="25">
        <v>7.0800000000000002E-2</v>
      </c>
      <c r="K21" s="25">
        <v>0.14199999999999999</v>
      </c>
      <c r="L21" s="2"/>
      <c r="M21" s="2"/>
      <c r="N21" s="2"/>
      <c r="O21" s="2"/>
      <c r="P21" s="2"/>
    </row>
    <row r="22" spans="1:16" ht="18.75">
      <c r="A22" s="8"/>
      <c r="B22" s="28"/>
      <c r="C22" s="28"/>
      <c r="D22" s="28"/>
      <c r="E22" s="28"/>
      <c r="F22" s="28"/>
      <c r="G22" s="28"/>
      <c r="H22" s="28"/>
      <c r="I22" s="28"/>
      <c r="J22" s="28"/>
      <c r="K22" s="28"/>
      <c r="L22" s="2"/>
      <c r="M22" s="2"/>
      <c r="N22" t="s">
        <v>165</v>
      </c>
      <c r="O22" s="2"/>
      <c r="P22" s="2"/>
    </row>
    <row r="23" spans="1:16" ht="18.75">
      <c r="A23" s="8"/>
      <c r="B23" s="28"/>
      <c r="C23" s="28"/>
      <c r="D23" s="28"/>
      <c r="E23" s="28"/>
      <c r="F23" s="28"/>
      <c r="G23" s="28"/>
      <c r="H23" s="28"/>
      <c r="I23" s="28"/>
      <c r="J23" s="28"/>
      <c r="K23" s="28"/>
      <c r="L23" s="2"/>
      <c r="M23" s="2"/>
      <c r="N23" t="s">
        <v>166</v>
      </c>
      <c r="O23" s="2"/>
      <c r="P23" s="2"/>
    </row>
    <row r="24" spans="1:16" ht="18.75">
      <c r="A24" s="8"/>
      <c r="B24" s="28"/>
      <c r="C24" s="28"/>
      <c r="D24" s="28"/>
      <c r="E24" s="28"/>
      <c r="F24" s="28"/>
      <c r="G24" s="28"/>
      <c r="H24" s="28"/>
      <c r="I24" s="28"/>
      <c r="J24" s="28"/>
      <c r="K24" s="28"/>
      <c r="L24" s="2"/>
      <c r="M24" s="2"/>
      <c r="N24" t="s">
        <v>167</v>
      </c>
      <c r="O24" s="2"/>
      <c r="P24" s="2"/>
    </row>
    <row r="25" spans="1:16" ht="18.75">
      <c r="A25" s="8"/>
      <c r="B25" s="28"/>
      <c r="C25" s="28"/>
      <c r="D25" s="28"/>
      <c r="E25" s="28"/>
      <c r="F25" s="28"/>
      <c r="G25" s="28"/>
      <c r="H25" s="28"/>
      <c r="I25" s="28"/>
      <c r="J25" s="28"/>
      <c r="K25" s="28"/>
      <c r="L25" s="2"/>
      <c r="M25" s="2"/>
      <c r="N25" s="35" t="s">
        <v>168</v>
      </c>
      <c r="O25" s="2"/>
      <c r="P25" s="2"/>
    </row>
    <row r="26" spans="1:16" ht="18.75">
      <c r="A26" s="8"/>
      <c r="B26" s="28"/>
      <c r="C26" s="28"/>
      <c r="D26" s="28"/>
      <c r="E26" s="28"/>
      <c r="F26" s="28"/>
      <c r="G26" s="28"/>
      <c r="H26" s="28"/>
      <c r="I26" s="28"/>
      <c r="J26" s="28"/>
      <c r="K26" s="28"/>
      <c r="L26" s="2"/>
      <c r="M26" s="2"/>
      <c r="N26" s="2"/>
      <c r="O26" s="2"/>
      <c r="P26" s="2"/>
    </row>
    <row r="27" spans="1:16" ht="18.75">
      <c r="A27" s="8"/>
      <c r="B27" s="28"/>
      <c r="C27" s="28"/>
      <c r="D27" s="28"/>
      <c r="E27" s="28"/>
      <c r="F27" s="28"/>
      <c r="G27" s="28"/>
      <c r="H27" s="28"/>
      <c r="I27" s="28"/>
      <c r="J27" s="28"/>
      <c r="K27" s="28"/>
      <c r="L27" s="2"/>
      <c r="M27" s="2"/>
      <c r="N27" s="2"/>
      <c r="O27" s="2"/>
      <c r="P27" s="2"/>
    </row>
    <row r="28" spans="1:16" ht="18.75">
      <c r="A28" s="8"/>
      <c r="B28" s="28"/>
      <c r="C28" s="28"/>
      <c r="D28" s="28"/>
      <c r="E28" s="28"/>
      <c r="F28" s="28"/>
      <c r="G28" s="28"/>
      <c r="H28" s="13" t="s">
        <v>169</v>
      </c>
      <c r="I28" s="28"/>
      <c r="J28" s="28"/>
      <c r="K28" s="28"/>
      <c r="L28" s="2"/>
      <c r="M28" s="2"/>
      <c r="N28" s="2"/>
      <c r="O28" s="2"/>
      <c r="P28" s="2"/>
    </row>
    <row r="29" spans="1:16" ht="18.75">
      <c r="A29" s="8"/>
      <c r="B29" s="28"/>
      <c r="C29" s="28"/>
      <c r="D29" s="28"/>
      <c r="E29" s="28"/>
      <c r="F29" s="28"/>
      <c r="G29" s="28"/>
      <c r="H29" s="28"/>
      <c r="I29" s="28"/>
      <c r="J29" s="28"/>
      <c r="K29" s="28"/>
      <c r="L29" s="2"/>
      <c r="M29" s="2"/>
      <c r="N29" s="2"/>
      <c r="O29" s="2"/>
      <c r="P29" s="2"/>
    </row>
    <row r="30" spans="1:16" ht="18.75">
      <c r="A30" s="8"/>
      <c r="B30" s="28"/>
      <c r="C30" s="28"/>
      <c r="D30" s="28"/>
      <c r="E30" s="28"/>
      <c r="F30" s="13" t="s">
        <v>170</v>
      </c>
      <c r="G30" s="28"/>
      <c r="H30" s="28"/>
      <c r="I30" s="28"/>
      <c r="J30" s="28"/>
      <c r="K30" s="28"/>
      <c r="L30" s="2"/>
      <c r="M30" s="2"/>
      <c r="N30" s="2"/>
      <c r="O30" s="2"/>
      <c r="P30" s="2"/>
    </row>
    <row r="31" spans="1:16" ht="18.75">
      <c r="A31" s="8"/>
      <c r="B31" s="28"/>
      <c r="C31" s="28"/>
      <c r="D31" s="28"/>
      <c r="E31" s="28"/>
      <c r="F31" s="28"/>
      <c r="G31" s="28"/>
      <c r="H31" s="28"/>
      <c r="I31" s="28"/>
      <c r="J31" s="28"/>
      <c r="K31" s="28"/>
      <c r="L31" s="2"/>
      <c r="M31" s="2"/>
      <c r="N31" s="2"/>
      <c r="O31" s="2"/>
      <c r="P31" s="2"/>
    </row>
    <row r="32" spans="1:16" ht="18.75">
      <c r="A32" s="8"/>
      <c r="B32" s="28"/>
      <c r="C32" s="28"/>
      <c r="D32" s="28"/>
      <c r="E32" s="28"/>
      <c r="F32" s="28"/>
      <c r="G32" s="28"/>
      <c r="H32" s="28"/>
      <c r="I32" s="28"/>
      <c r="J32" s="28"/>
      <c r="K32" s="28"/>
      <c r="L32" s="2"/>
      <c r="M32" s="2"/>
      <c r="N32" s="2"/>
      <c r="O32" s="2"/>
      <c r="P32" s="2"/>
    </row>
    <row r="33" spans="1:16" ht="18.75">
      <c r="A33" s="8"/>
      <c r="B33" s="28"/>
      <c r="C33" s="28"/>
      <c r="D33" s="28"/>
      <c r="E33" s="28"/>
      <c r="F33" s="28"/>
      <c r="G33" s="28"/>
      <c r="H33" s="28"/>
      <c r="I33" s="28"/>
      <c r="J33" s="28"/>
      <c r="K33" s="28"/>
      <c r="L33" s="2"/>
      <c r="M33" s="2"/>
      <c r="N33" s="2"/>
      <c r="O33" s="2"/>
      <c r="P33" s="2"/>
    </row>
    <row r="34" spans="1:16" ht="18.75">
      <c r="A34" s="8"/>
      <c r="B34" s="28"/>
      <c r="C34" s="28"/>
      <c r="D34" s="28"/>
      <c r="E34" s="28"/>
      <c r="F34" s="28"/>
      <c r="G34" s="28"/>
      <c r="H34" s="28"/>
      <c r="I34" s="28"/>
      <c r="J34" s="28"/>
      <c r="K34" s="28"/>
      <c r="L34" s="2"/>
      <c r="M34" s="2"/>
      <c r="N34" s="2"/>
      <c r="O34" s="2"/>
      <c r="P34" s="2"/>
    </row>
    <row r="35" spans="1:16" ht="18.75">
      <c r="A35" s="8"/>
      <c r="B35" s="28"/>
      <c r="C35" s="28"/>
      <c r="D35" s="28"/>
      <c r="E35" s="28"/>
      <c r="F35" s="28"/>
      <c r="G35" s="28"/>
      <c r="H35" s="28"/>
      <c r="I35" s="28"/>
      <c r="J35" s="28"/>
      <c r="K35" s="28"/>
      <c r="L35" s="2"/>
      <c r="M35" s="2"/>
      <c r="N35" s="2"/>
      <c r="O35" s="2"/>
      <c r="P35" s="2"/>
    </row>
    <row r="36" spans="1:16" ht="18.75">
      <c r="A36" s="8"/>
      <c r="B36" s="28"/>
      <c r="C36" s="28"/>
      <c r="D36" s="28"/>
      <c r="E36" s="28"/>
      <c r="F36" s="28"/>
      <c r="G36" s="28"/>
      <c r="H36" s="28"/>
      <c r="I36" s="28"/>
      <c r="J36" s="28"/>
      <c r="K36" s="28"/>
      <c r="L36" s="2"/>
      <c r="M36" s="2"/>
      <c r="N36" s="2"/>
      <c r="O36" s="2"/>
      <c r="P36" s="2"/>
    </row>
    <row r="37" spans="1:16" ht="18.75">
      <c r="A37" s="8"/>
      <c r="B37" s="28"/>
      <c r="C37" s="28"/>
      <c r="D37" s="28"/>
      <c r="E37" s="28"/>
      <c r="F37" s="28"/>
      <c r="G37" s="28"/>
      <c r="H37" s="28"/>
      <c r="I37" s="28"/>
      <c r="J37" s="28"/>
      <c r="K37" s="28"/>
      <c r="L37" s="2"/>
      <c r="M37" s="2"/>
      <c r="N37" s="2"/>
      <c r="O37" s="2"/>
      <c r="P37" s="2"/>
    </row>
    <row r="38" spans="1:16" ht="18.75">
      <c r="A38" s="8"/>
      <c r="B38" s="28"/>
      <c r="C38" s="28"/>
      <c r="D38" s="28"/>
      <c r="E38" s="28"/>
      <c r="F38" s="28"/>
      <c r="G38" s="28"/>
      <c r="H38" s="28"/>
      <c r="I38" s="28"/>
      <c r="J38" s="28"/>
      <c r="K38" s="28"/>
      <c r="L38" s="2"/>
      <c r="M38" s="2"/>
      <c r="N38" s="2"/>
      <c r="O38" s="2"/>
      <c r="P38" s="2"/>
    </row>
    <row r="39" spans="1:16" ht="18.75">
      <c r="A39" s="8"/>
      <c r="B39" s="28"/>
      <c r="C39" s="28"/>
      <c r="D39" s="28"/>
      <c r="E39" s="28"/>
      <c r="F39" s="28"/>
      <c r="G39" s="28"/>
      <c r="H39" s="28"/>
      <c r="I39" s="28"/>
      <c r="J39" s="28"/>
      <c r="K39" s="28"/>
      <c r="L39" s="2"/>
      <c r="M39" s="2"/>
      <c r="N39" s="2"/>
      <c r="O39" s="2"/>
      <c r="P39" s="2"/>
    </row>
    <row r="40" spans="1:16" ht="18.75">
      <c r="A40" s="8"/>
      <c r="B40" s="28"/>
      <c r="C40" s="28"/>
      <c r="D40" s="28"/>
      <c r="E40" s="28"/>
      <c r="F40" s="28"/>
      <c r="G40" s="28"/>
      <c r="H40" s="28"/>
      <c r="I40" s="28"/>
      <c r="J40" s="28"/>
      <c r="K40" s="28"/>
      <c r="L40" s="2"/>
      <c r="M40" s="2"/>
      <c r="N40" s="2"/>
      <c r="O40" s="2"/>
      <c r="P40" s="2"/>
    </row>
    <row r="41" spans="1:16" ht="18.75">
      <c r="A41" s="8"/>
      <c r="B41" s="28"/>
      <c r="C41" s="28"/>
      <c r="D41" s="28"/>
      <c r="E41" s="28"/>
      <c r="F41" s="28"/>
      <c r="G41" s="28"/>
      <c r="H41" s="28"/>
      <c r="I41" s="28"/>
      <c r="J41" s="28"/>
      <c r="K41" s="28"/>
      <c r="L41" s="2"/>
      <c r="M41" s="2"/>
      <c r="N41" s="2"/>
      <c r="O41" s="2"/>
      <c r="P41" s="2"/>
    </row>
  </sheetData>
  <sheetProtection password="CE28" sheet="1" objects="1" scenarios="1"/>
  <mergeCells count="12">
    <mergeCell ref="A1:K1"/>
    <mergeCell ref="F4:G4"/>
    <mergeCell ref="H4:I4"/>
    <mergeCell ref="J3:J5"/>
    <mergeCell ref="K3:K5"/>
    <mergeCell ref="J2:K2"/>
    <mergeCell ref="B2:I2"/>
    <mergeCell ref="A2:A5"/>
    <mergeCell ref="D4:E4"/>
    <mergeCell ref="B4:C4"/>
    <mergeCell ref="B3:E3"/>
    <mergeCell ref="F3:I3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>
  <dimension ref="A1:N41"/>
  <sheetViews>
    <sheetView workbookViewId="0">
      <selection activeCell="H25" sqref="H25"/>
    </sheetView>
  </sheetViews>
  <sheetFormatPr defaultRowHeight="13.5"/>
  <cols>
    <col min="1" max="1" width="9.5" style="26" customWidth="1"/>
    <col min="2" max="2" width="10.375" style="26" customWidth="1"/>
    <col min="3" max="3" width="9" style="26"/>
    <col min="14" max="14" width="25.875" customWidth="1"/>
  </cols>
  <sheetData>
    <row r="1" spans="1:14" ht="18.75">
      <c r="A1" s="71" t="s">
        <v>142</v>
      </c>
      <c r="B1" s="71"/>
      <c r="C1" s="71"/>
      <c r="D1" s="71"/>
      <c r="E1" s="71"/>
      <c r="F1" s="71"/>
      <c r="G1" s="71"/>
      <c r="H1" s="71"/>
      <c r="I1" s="71"/>
      <c r="J1" s="71"/>
      <c r="K1" s="71"/>
      <c r="L1" s="71"/>
      <c r="M1" s="12"/>
    </row>
    <row r="2" spans="1:14" ht="18.75">
      <c r="A2" s="70" t="s">
        <v>146</v>
      </c>
      <c r="B2" s="74" t="s">
        <v>147</v>
      </c>
      <c r="C2" s="73" t="s">
        <v>145</v>
      </c>
      <c r="D2" s="73"/>
      <c r="E2" s="73"/>
      <c r="F2" s="73"/>
      <c r="G2" s="73"/>
      <c r="H2" s="73"/>
      <c r="I2" s="73"/>
      <c r="J2" s="73"/>
      <c r="K2" s="73" t="s">
        <v>140</v>
      </c>
      <c r="L2" s="73"/>
      <c r="M2" s="12"/>
      <c r="N2" t="s">
        <v>149</v>
      </c>
    </row>
    <row r="3" spans="1:14" ht="18.75">
      <c r="A3" s="70"/>
      <c r="B3" s="74"/>
      <c r="C3" s="73" t="s">
        <v>143</v>
      </c>
      <c r="D3" s="73"/>
      <c r="E3" s="73"/>
      <c r="F3" s="73"/>
      <c r="G3" s="73" t="s">
        <v>144</v>
      </c>
      <c r="H3" s="73"/>
      <c r="I3" s="73"/>
      <c r="J3" s="73"/>
      <c r="K3" s="73" t="s">
        <v>138</v>
      </c>
      <c r="L3" s="73" t="s">
        <v>148</v>
      </c>
      <c r="M3" s="12"/>
      <c r="N3" t="s">
        <v>150</v>
      </c>
    </row>
    <row r="4" spans="1:14" ht="18.75">
      <c r="A4" s="70"/>
      <c r="B4" s="74"/>
      <c r="C4" s="73" t="s">
        <v>134</v>
      </c>
      <c r="D4" s="73"/>
      <c r="E4" s="73" t="s">
        <v>135</v>
      </c>
      <c r="F4" s="73"/>
      <c r="G4" s="73" t="s">
        <v>134</v>
      </c>
      <c r="H4" s="73"/>
      <c r="I4" s="73" t="s">
        <v>135</v>
      </c>
      <c r="J4" s="73"/>
      <c r="K4" s="73"/>
      <c r="L4" s="73"/>
      <c r="M4" s="12"/>
      <c r="N4" t="s">
        <v>151</v>
      </c>
    </row>
    <row r="5" spans="1:14" ht="21.75">
      <c r="A5" s="70"/>
      <c r="B5" s="74"/>
      <c r="C5" s="27" t="s">
        <v>136</v>
      </c>
      <c r="D5" s="27" t="s">
        <v>63</v>
      </c>
      <c r="E5" s="27" t="s">
        <v>136</v>
      </c>
      <c r="F5" s="27" t="s">
        <v>63</v>
      </c>
      <c r="G5" s="27" t="s">
        <v>136</v>
      </c>
      <c r="H5" s="27" t="s">
        <v>63</v>
      </c>
      <c r="I5" s="27" t="s">
        <v>136</v>
      </c>
      <c r="J5" s="27" t="s">
        <v>63</v>
      </c>
      <c r="K5" s="73"/>
      <c r="L5" s="73"/>
      <c r="M5" s="12"/>
      <c r="N5" t="s">
        <v>152</v>
      </c>
    </row>
    <row r="6" spans="1:14" ht="18.75">
      <c r="A6" s="80">
        <v>2</v>
      </c>
      <c r="B6" s="27">
        <v>120</v>
      </c>
      <c r="C6" s="27">
        <v>9.1999999999999998E-2</v>
      </c>
      <c r="D6" s="32">
        <v>0.253</v>
      </c>
      <c r="E6" s="32">
        <v>0.153</v>
      </c>
      <c r="F6" s="32">
        <v>0.41499999999999998</v>
      </c>
      <c r="G6" s="32">
        <v>8.6999999999999994E-2</v>
      </c>
      <c r="H6" s="32">
        <v>0.24</v>
      </c>
      <c r="I6" s="32">
        <v>0.14499999999999999</v>
      </c>
      <c r="J6" s="32">
        <v>0.39300000000000002</v>
      </c>
      <c r="K6" s="32">
        <v>7.1099999999999997E-2</v>
      </c>
      <c r="L6" s="32">
        <v>0.14399999999999999</v>
      </c>
      <c r="M6" s="12"/>
      <c r="N6" t="s">
        <v>153</v>
      </c>
    </row>
    <row r="7" spans="1:14" ht="18.75">
      <c r="A7" s="80"/>
      <c r="B7" s="27">
        <v>150</v>
      </c>
      <c r="C7" s="27">
        <v>7.4499999999999997E-2</v>
      </c>
      <c r="D7" s="32">
        <v>0.23599999999999999</v>
      </c>
      <c r="E7" s="32">
        <v>0.125</v>
      </c>
      <c r="F7" s="32">
        <v>0.38700000000000001</v>
      </c>
      <c r="G7" s="32">
        <v>7.0499999999999993E-2</v>
      </c>
      <c r="H7" s="32">
        <v>0.223</v>
      </c>
      <c r="I7" s="32">
        <v>0.11799999999999999</v>
      </c>
      <c r="J7" s="32">
        <v>0.36599999999999999</v>
      </c>
      <c r="K7" s="32">
        <v>7.0800000000000002E-2</v>
      </c>
      <c r="L7" s="32">
        <v>0.14199999999999999</v>
      </c>
      <c r="M7" s="12"/>
      <c r="N7" t="s">
        <v>154</v>
      </c>
    </row>
    <row r="8" spans="1:14" ht="18.75">
      <c r="A8" s="80"/>
      <c r="B8" s="27">
        <v>185</v>
      </c>
      <c r="C8" s="27">
        <v>5.9499999999999997E-2</v>
      </c>
      <c r="D8" s="32">
        <v>0.17599999999999999</v>
      </c>
      <c r="E8" s="32">
        <v>9.9000000000000005E-2</v>
      </c>
      <c r="F8" s="32">
        <v>0.29299999999999998</v>
      </c>
      <c r="G8" s="32">
        <v>5.6500000000000002E-2</v>
      </c>
      <c r="H8" s="32">
        <v>0.16700000000000001</v>
      </c>
      <c r="I8" s="32">
        <v>9.4E-2</v>
      </c>
      <c r="J8" s="32">
        <v>0.27700000000000002</v>
      </c>
      <c r="K8" s="32">
        <v>7.0000000000000007E-2</v>
      </c>
      <c r="L8" s="32">
        <v>0.14099999999999999</v>
      </c>
      <c r="M8" s="12"/>
      <c r="N8" t="s">
        <v>155</v>
      </c>
    </row>
    <row r="9" spans="1:14" ht="18.75">
      <c r="A9" s="80"/>
      <c r="B9" s="27">
        <v>240</v>
      </c>
      <c r="C9" s="27">
        <v>4.53E-2</v>
      </c>
      <c r="D9" s="32">
        <v>0.13800000000000001</v>
      </c>
      <c r="E9" s="32">
        <v>7.5499999999999998E-2</v>
      </c>
      <c r="F9" s="32">
        <v>0.22900000000000001</v>
      </c>
      <c r="G9" s="32">
        <v>4.2999999999999997E-2</v>
      </c>
      <c r="H9" s="32">
        <v>0.13</v>
      </c>
      <c r="I9" s="32">
        <v>7.1499999999999994E-2</v>
      </c>
      <c r="J9" s="32">
        <v>0.2165</v>
      </c>
      <c r="K9" s="32">
        <v>6.9400000000000003E-2</v>
      </c>
      <c r="L9" s="32">
        <v>0.13919999999999999</v>
      </c>
      <c r="M9" s="12"/>
      <c r="N9" t="s">
        <v>156</v>
      </c>
    </row>
    <row r="10" spans="1:14" ht="18.75">
      <c r="A10" s="80">
        <v>3</v>
      </c>
      <c r="B10" s="27">
        <v>120</v>
      </c>
      <c r="C10" s="27">
        <v>6.13E-2</v>
      </c>
      <c r="D10" s="32">
        <v>0.16900000000000001</v>
      </c>
      <c r="E10" s="32">
        <v>0.10199999999999999</v>
      </c>
      <c r="F10" s="32">
        <v>0.27700000000000002</v>
      </c>
      <c r="G10" s="32">
        <v>5.8000000000000003E-2</v>
      </c>
      <c r="H10" s="32">
        <v>0.15970000000000001</v>
      </c>
      <c r="I10" s="32">
        <v>9.6699999999999994E-2</v>
      </c>
      <c r="J10" s="32">
        <v>0.26200000000000001</v>
      </c>
      <c r="K10" s="32">
        <v>6.7500000000000004E-2</v>
      </c>
      <c r="L10" s="32">
        <v>0.1386</v>
      </c>
      <c r="M10" s="12"/>
      <c r="N10" t="s">
        <v>157</v>
      </c>
    </row>
    <row r="11" spans="1:14" ht="18.75">
      <c r="A11" s="80"/>
      <c r="B11" s="27">
        <v>150</v>
      </c>
      <c r="C11" s="27">
        <v>4.9700000000000001E-2</v>
      </c>
      <c r="D11" s="32">
        <v>0.157</v>
      </c>
      <c r="E11" s="32">
        <v>8.3000000000000004E-2</v>
      </c>
      <c r="F11" s="32">
        <v>0.25800000000000001</v>
      </c>
      <c r="G11" s="32">
        <v>4.7E-2</v>
      </c>
      <c r="H11" s="32">
        <v>0.14899999999999999</v>
      </c>
      <c r="I11" s="32">
        <v>7.8700000000000006E-2</v>
      </c>
      <c r="J11" s="32">
        <v>0.24399999999999999</v>
      </c>
      <c r="K11" s="32">
        <v>6.7299999999999999E-2</v>
      </c>
      <c r="L11" s="32">
        <v>0.13719999999999999</v>
      </c>
      <c r="M11" s="12"/>
      <c r="N11" t="s">
        <v>158</v>
      </c>
    </row>
    <row r="12" spans="1:14" ht="18.75">
      <c r="A12" s="80"/>
      <c r="B12" s="27">
        <v>185</v>
      </c>
      <c r="C12" s="27">
        <v>3.9699999999999999E-2</v>
      </c>
      <c r="D12" s="32">
        <v>0.11700000000000001</v>
      </c>
      <c r="E12" s="32">
        <v>6.6000000000000003E-2</v>
      </c>
      <c r="F12" s="32">
        <v>0.19500000000000001</v>
      </c>
      <c r="G12" s="32">
        <v>3.7699999999999997E-2</v>
      </c>
      <c r="H12" s="32">
        <v>0.111</v>
      </c>
      <c r="I12" s="32">
        <v>6.2700000000000006E-2</v>
      </c>
      <c r="J12" s="32">
        <v>0.1847</v>
      </c>
      <c r="K12" s="32">
        <v>6.6600000000000006E-2</v>
      </c>
      <c r="L12" s="32">
        <v>0.1358</v>
      </c>
      <c r="M12" s="12"/>
      <c r="N12" t="s">
        <v>159</v>
      </c>
    </row>
    <row r="13" spans="1:14" ht="18.75">
      <c r="A13" s="80"/>
      <c r="B13" s="27">
        <v>240</v>
      </c>
      <c r="C13" s="27">
        <v>3.0200000000000001E-2</v>
      </c>
      <c r="D13" s="32">
        <v>9.1700000000000004E-2</v>
      </c>
      <c r="E13" s="32">
        <v>5.0299999999999997E-2</v>
      </c>
      <c r="F13" s="32">
        <v>0.152</v>
      </c>
      <c r="G13" s="32">
        <v>2.86E-2</v>
      </c>
      <c r="H13" s="32">
        <v>8.6699999999999999E-2</v>
      </c>
      <c r="I13" s="32">
        <v>4.7699999999999999E-2</v>
      </c>
      <c r="J13" s="32">
        <v>0.14430000000000001</v>
      </c>
      <c r="K13" s="32">
        <v>6.59E-2</v>
      </c>
      <c r="L13" s="32">
        <v>0.13450000000000001</v>
      </c>
      <c r="M13" s="12"/>
      <c r="N13" t="s">
        <v>160</v>
      </c>
    </row>
    <row r="14" spans="1:14" ht="18.75">
      <c r="A14" s="80">
        <v>4</v>
      </c>
      <c r="B14" s="27">
        <v>120</v>
      </c>
      <c r="C14" s="27">
        <v>4.5999999999999999E-2</v>
      </c>
      <c r="D14" s="32">
        <v>0.127</v>
      </c>
      <c r="E14" s="32">
        <v>7.6499999999999999E-2</v>
      </c>
      <c r="F14" s="32">
        <v>0.20799999999999999</v>
      </c>
      <c r="G14" s="32">
        <v>4.3499999999999997E-2</v>
      </c>
      <c r="H14" s="32">
        <v>0.1198</v>
      </c>
      <c r="I14" s="32">
        <v>7.2499999999999995E-2</v>
      </c>
      <c r="J14" s="32">
        <v>0.19650000000000001</v>
      </c>
      <c r="K14" s="32">
        <v>6.4199999999999993E-2</v>
      </c>
      <c r="L14" s="32">
        <v>0.13200000000000001</v>
      </c>
      <c r="M14" s="12"/>
    </row>
    <row r="15" spans="1:14" ht="18.75">
      <c r="A15" s="80"/>
      <c r="B15" s="27">
        <v>150</v>
      </c>
      <c r="C15" s="27">
        <v>3.73E-2</v>
      </c>
      <c r="D15" s="32">
        <v>0.11799999999999999</v>
      </c>
      <c r="E15" s="32">
        <v>6.2300000000000001E-2</v>
      </c>
      <c r="F15" s="32">
        <v>0.193</v>
      </c>
      <c r="G15" s="32">
        <v>3.5299999999999998E-2</v>
      </c>
      <c r="H15" s="32">
        <v>0.1115</v>
      </c>
      <c r="I15" s="32">
        <v>5.8999999999999997E-2</v>
      </c>
      <c r="J15" s="32">
        <v>0.183</v>
      </c>
      <c r="K15" s="32">
        <v>6.3899999999999998E-2</v>
      </c>
      <c r="L15" s="32">
        <v>0.13059999999999999</v>
      </c>
      <c r="M15" s="12"/>
    </row>
    <row r="16" spans="1:14" ht="18.75">
      <c r="A16" s="80"/>
      <c r="B16" s="27">
        <v>185</v>
      </c>
      <c r="C16" s="27">
        <v>2.98E-2</v>
      </c>
      <c r="D16" s="32">
        <v>8.7800000000000003E-2</v>
      </c>
      <c r="E16" s="32">
        <v>4.9500000000000002E-2</v>
      </c>
      <c r="F16" s="32">
        <v>0.14599999999999999</v>
      </c>
      <c r="G16" s="32">
        <v>2.8299999999999999E-2</v>
      </c>
      <c r="H16" s="32">
        <v>8.3299999999999999E-2</v>
      </c>
      <c r="I16" s="32">
        <v>4.7E-2</v>
      </c>
      <c r="J16" s="32">
        <v>0.13850000000000001</v>
      </c>
      <c r="K16" s="32">
        <v>6.3200000000000006E-2</v>
      </c>
      <c r="L16" s="32">
        <v>0.1293</v>
      </c>
      <c r="M16" s="12"/>
    </row>
    <row r="17" spans="1:13" ht="18.75">
      <c r="A17" s="80"/>
      <c r="B17" s="27">
        <v>240</v>
      </c>
      <c r="C17" s="27">
        <v>2.2599999999999999E-2</v>
      </c>
      <c r="D17" s="32">
        <v>6.88E-2</v>
      </c>
      <c r="E17" s="32">
        <v>3.78E-2</v>
      </c>
      <c r="F17" s="32">
        <v>0.114</v>
      </c>
      <c r="G17" s="32">
        <v>2.1499999999999998E-2</v>
      </c>
      <c r="H17" s="32">
        <v>6.5000000000000002E-2</v>
      </c>
      <c r="I17" s="32">
        <v>3.5799999999999998E-2</v>
      </c>
      <c r="J17" s="32">
        <v>0.10829999999999999</v>
      </c>
      <c r="K17" s="32">
        <v>6.2600000000000003E-2</v>
      </c>
      <c r="L17" s="32">
        <v>0.12809999999999999</v>
      </c>
      <c r="M17" s="12"/>
    </row>
    <row r="18" spans="1:13" ht="18.75">
      <c r="B18" s="13"/>
      <c r="C18" s="13"/>
      <c r="D18" s="12"/>
      <c r="E18" s="12"/>
      <c r="F18" s="12"/>
      <c r="G18" s="12"/>
      <c r="H18" s="12"/>
      <c r="I18" s="12"/>
      <c r="J18" s="12"/>
      <c r="K18" s="12"/>
      <c r="L18" s="12"/>
      <c r="M18" s="12"/>
    </row>
    <row r="19" spans="1:13" ht="18.75">
      <c r="B19" s="13"/>
      <c r="C19" s="13"/>
      <c r="D19" s="12"/>
      <c r="E19" s="12"/>
      <c r="F19" s="12"/>
      <c r="G19" s="12"/>
      <c r="H19" s="12"/>
      <c r="I19" s="12"/>
      <c r="J19" s="12"/>
      <c r="K19" s="12"/>
      <c r="L19" s="12"/>
      <c r="M19" s="12"/>
    </row>
    <row r="20" spans="1:13" ht="18.75">
      <c r="B20" s="13"/>
      <c r="C20" s="13"/>
      <c r="D20" s="12"/>
      <c r="E20" s="12"/>
      <c r="F20" s="12"/>
      <c r="G20" s="12"/>
      <c r="H20" s="12"/>
      <c r="I20" s="12"/>
      <c r="J20" s="12"/>
      <c r="K20" s="12"/>
      <c r="L20" s="12"/>
      <c r="M20" s="12"/>
    </row>
    <row r="21" spans="1:13" ht="18.75">
      <c r="B21" s="13"/>
      <c r="C21" s="13"/>
      <c r="D21" s="12"/>
      <c r="E21" s="12"/>
      <c r="F21" s="12"/>
      <c r="G21" s="12"/>
      <c r="H21" s="12"/>
      <c r="I21" s="12"/>
      <c r="J21" s="12"/>
      <c r="K21" s="12"/>
      <c r="L21" s="12"/>
      <c r="M21" s="12"/>
    </row>
    <row r="22" spans="1:13" ht="18.75">
      <c r="B22" s="13"/>
      <c r="C22" s="13"/>
      <c r="D22" s="12"/>
      <c r="E22" s="12"/>
      <c r="F22" s="12"/>
      <c r="G22" s="12"/>
      <c r="H22" s="12"/>
      <c r="I22" s="12"/>
      <c r="J22" s="12"/>
      <c r="K22" s="12"/>
      <c r="L22" s="12"/>
      <c r="M22" s="12"/>
    </row>
    <row r="23" spans="1:13" ht="18.75">
      <c r="B23" s="13"/>
      <c r="C23" s="13"/>
      <c r="D23" s="12"/>
      <c r="E23" s="12"/>
      <c r="F23" s="12"/>
      <c r="G23" s="12"/>
      <c r="H23" s="12"/>
      <c r="I23" s="12"/>
      <c r="J23" s="12"/>
      <c r="K23" s="12"/>
      <c r="L23" s="12"/>
      <c r="M23" s="12"/>
    </row>
    <row r="24" spans="1:13" ht="18.75">
      <c r="B24" s="13"/>
      <c r="C24" s="13"/>
      <c r="D24" s="12"/>
      <c r="E24" s="12"/>
      <c r="F24" s="12"/>
      <c r="G24" s="12"/>
      <c r="H24" s="12"/>
      <c r="I24" s="12"/>
      <c r="J24" s="34" t="s">
        <v>164</v>
      </c>
      <c r="K24" s="12"/>
      <c r="L24" s="12"/>
      <c r="M24" s="12"/>
    </row>
    <row r="25" spans="1:13" ht="18.75">
      <c r="B25" s="13"/>
      <c r="C25" s="13"/>
      <c r="D25" s="12"/>
      <c r="E25" s="12"/>
      <c r="F25" s="12"/>
      <c r="G25" s="12"/>
      <c r="H25" s="12"/>
      <c r="I25" s="12"/>
      <c r="J25" s="12"/>
      <c r="K25" s="12"/>
      <c r="L25" s="12"/>
      <c r="M25" s="12"/>
    </row>
    <row r="26" spans="1:13" ht="18.75">
      <c r="B26" s="13"/>
      <c r="C26" s="13"/>
      <c r="D26" s="12"/>
      <c r="E26" s="12"/>
      <c r="F26" s="12"/>
      <c r="G26" s="12"/>
      <c r="H26" s="12"/>
      <c r="I26" s="12"/>
      <c r="J26" s="12"/>
      <c r="K26" s="12"/>
      <c r="L26" s="12"/>
      <c r="M26" s="12"/>
    </row>
    <row r="27" spans="1:13" ht="107.25" customHeight="1">
      <c r="B27" s="13"/>
      <c r="C27" s="13"/>
      <c r="D27" s="12"/>
      <c r="E27" s="12"/>
      <c r="F27" s="12"/>
      <c r="G27" s="12"/>
      <c r="H27" s="12" t="s">
        <v>161</v>
      </c>
      <c r="I27" s="12"/>
      <c r="J27" s="12"/>
      <c r="K27" s="12"/>
      <c r="L27" s="12"/>
      <c r="M27" s="12"/>
    </row>
    <row r="28" spans="1:13" ht="18.75">
      <c r="B28" s="13"/>
      <c r="C28" s="13"/>
      <c r="D28" s="12"/>
      <c r="E28" s="12"/>
      <c r="F28" s="12"/>
      <c r="G28" s="12"/>
      <c r="H28" s="12"/>
      <c r="I28" s="12"/>
      <c r="J28" s="12"/>
      <c r="K28" s="12"/>
      <c r="L28" s="12"/>
      <c r="M28" s="12"/>
    </row>
    <row r="29" spans="1:13" ht="18.75">
      <c r="B29" s="13"/>
      <c r="C29" s="13"/>
      <c r="D29" s="12"/>
      <c r="E29" s="12"/>
      <c r="F29" s="12"/>
      <c r="G29" s="12"/>
      <c r="H29" s="12"/>
      <c r="I29" s="12"/>
      <c r="J29" s="12"/>
      <c r="K29" s="12"/>
      <c r="L29" s="12"/>
      <c r="M29" s="12"/>
    </row>
    <row r="30" spans="1:13" ht="18.75">
      <c r="B30" s="13"/>
      <c r="C30" s="13"/>
      <c r="D30" s="12"/>
      <c r="E30" s="12"/>
      <c r="F30" s="12"/>
      <c r="G30" s="12"/>
      <c r="H30" s="12"/>
      <c r="I30" s="12"/>
      <c r="J30" s="12"/>
      <c r="K30" s="12"/>
      <c r="L30" s="12"/>
      <c r="M30" s="12"/>
    </row>
    <row r="31" spans="1:13" ht="18.75">
      <c r="B31" s="13"/>
      <c r="C31" s="13"/>
      <c r="D31" s="12"/>
      <c r="E31" s="12"/>
      <c r="F31" s="12"/>
      <c r="G31" s="12"/>
      <c r="H31" s="12"/>
      <c r="I31" s="12"/>
      <c r="J31" s="12"/>
      <c r="K31" s="12"/>
      <c r="L31" s="12"/>
      <c r="M31" s="12"/>
    </row>
    <row r="32" spans="1:13" ht="18.75">
      <c r="B32" s="13"/>
      <c r="C32" s="13"/>
      <c r="D32" s="12"/>
      <c r="E32" s="12"/>
      <c r="F32" s="12"/>
      <c r="G32" s="12"/>
      <c r="H32" s="12"/>
      <c r="I32" s="12"/>
      <c r="J32" s="12"/>
      <c r="K32" s="12"/>
      <c r="L32" s="12"/>
      <c r="M32" s="12"/>
    </row>
    <row r="33" spans="2:13" ht="18.75">
      <c r="B33" s="13"/>
      <c r="C33" s="13"/>
      <c r="D33" s="12"/>
      <c r="E33" s="12"/>
      <c r="F33" s="12"/>
      <c r="G33" s="12"/>
      <c r="H33" s="12"/>
      <c r="I33" s="12"/>
      <c r="J33" s="12"/>
      <c r="K33" s="12"/>
      <c r="L33" s="12"/>
      <c r="M33" s="12"/>
    </row>
    <row r="34" spans="2:13" ht="18.75">
      <c r="B34" s="13"/>
      <c r="C34" s="13"/>
      <c r="D34" s="12"/>
      <c r="E34" s="12"/>
      <c r="F34" s="12"/>
      <c r="G34" s="12"/>
      <c r="H34" s="12"/>
      <c r="I34" s="12"/>
      <c r="J34" s="12"/>
      <c r="K34" s="12"/>
      <c r="L34" s="12"/>
      <c r="M34" s="12"/>
    </row>
    <row r="35" spans="2:13" ht="18.75">
      <c r="B35" s="13"/>
      <c r="C35" s="13"/>
      <c r="D35" s="12"/>
      <c r="E35" s="12"/>
      <c r="F35" s="12"/>
      <c r="G35" s="12"/>
      <c r="H35" s="12"/>
      <c r="I35" s="12"/>
      <c r="J35" s="12"/>
      <c r="K35" s="12"/>
      <c r="L35" s="12"/>
      <c r="M35" s="12"/>
    </row>
    <row r="36" spans="2:13" ht="18.75">
      <c r="B36" s="13"/>
      <c r="C36" s="13"/>
      <c r="D36" s="12"/>
      <c r="E36" s="12"/>
      <c r="F36" s="12"/>
      <c r="G36" s="12"/>
      <c r="H36" s="12"/>
      <c r="I36" s="12"/>
      <c r="J36" s="12"/>
      <c r="K36" s="12"/>
      <c r="L36" s="12"/>
      <c r="M36" s="12"/>
    </row>
    <row r="37" spans="2:13" ht="18.75">
      <c r="B37" s="13"/>
      <c r="C37" s="13"/>
      <c r="D37" s="12"/>
      <c r="E37" s="12"/>
      <c r="F37" s="12"/>
      <c r="G37" s="12"/>
      <c r="H37" s="12"/>
      <c r="I37" s="12"/>
      <c r="J37" s="12"/>
      <c r="K37" s="12"/>
      <c r="L37" s="12"/>
      <c r="M37" s="12"/>
    </row>
    <row r="38" spans="2:13" ht="18.75">
      <c r="B38" s="13"/>
      <c r="C38" s="13"/>
      <c r="D38" s="12"/>
      <c r="E38" s="12"/>
      <c r="F38" s="12"/>
      <c r="G38" s="12"/>
      <c r="H38" s="12"/>
      <c r="I38" s="12"/>
      <c r="J38" s="12"/>
      <c r="K38" s="12"/>
      <c r="L38" s="12"/>
      <c r="M38" s="12"/>
    </row>
    <row r="39" spans="2:13" ht="18.75">
      <c r="B39" s="13"/>
      <c r="C39" s="13"/>
      <c r="D39" s="12"/>
      <c r="E39" s="12"/>
      <c r="F39" s="12"/>
      <c r="G39" s="12"/>
      <c r="H39" s="12"/>
      <c r="I39" s="12"/>
      <c r="J39" s="12"/>
      <c r="K39" s="12"/>
      <c r="L39" s="12"/>
      <c r="M39" s="12"/>
    </row>
    <row r="40" spans="2:13" ht="18.75">
      <c r="B40" s="13"/>
      <c r="C40" s="13"/>
      <c r="D40" s="12"/>
      <c r="E40" s="12"/>
      <c r="F40" s="12"/>
      <c r="G40" s="12"/>
      <c r="H40" s="12"/>
      <c r="I40" s="12"/>
      <c r="J40" s="12"/>
      <c r="K40" s="12"/>
      <c r="L40" s="12"/>
      <c r="M40" s="12"/>
    </row>
    <row r="41" spans="2:13" ht="18.75">
      <c r="B41" s="13"/>
      <c r="C41" s="13"/>
      <c r="D41" s="12"/>
      <c r="E41" s="12"/>
      <c r="F41" s="12"/>
      <c r="G41" s="12"/>
      <c r="H41" s="12"/>
      <c r="I41" s="12"/>
      <c r="J41" s="12"/>
      <c r="K41" s="12"/>
      <c r="L41" s="12"/>
      <c r="M41" s="12"/>
    </row>
  </sheetData>
  <sheetProtection password="CE28" sheet="1" objects="1" scenarios="1"/>
  <mergeCells count="16">
    <mergeCell ref="A10:A13"/>
    <mergeCell ref="A14:A17"/>
    <mergeCell ref="A1:L1"/>
    <mergeCell ref="K2:L2"/>
    <mergeCell ref="B2:B5"/>
    <mergeCell ref="A2:A5"/>
    <mergeCell ref="K3:K5"/>
    <mergeCell ref="L3:L5"/>
    <mergeCell ref="A6:A9"/>
    <mergeCell ref="C3:F3"/>
    <mergeCell ref="G3:J3"/>
    <mergeCell ref="C4:D4"/>
    <mergeCell ref="E4:F4"/>
    <mergeCell ref="G4:H4"/>
    <mergeCell ref="I4:J4"/>
    <mergeCell ref="C2:J2"/>
  </mergeCells>
  <phoneticPr fontId="1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11</vt:i4>
      </vt:variant>
      <vt:variant>
        <vt:lpstr>命名范围</vt:lpstr>
      </vt:variant>
      <vt:variant>
        <vt:i4>19</vt:i4>
      </vt:variant>
    </vt:vector>
  </HeadingPairs>
  <TitlesOfParts>
    <vt:vector size="30" baseType="lpstr">
      <vt:lpstr>短路电流计算及热稳定校验</vt:lpstr>
      <vt:lpstr>热稳定校验1</vt:lpstr>
      <vt:lpstr>热稳定校验2</vt:lpstr>
      <vt:lpstr>短路电流计算</vt:lpstr>
      <vt:lpstr>输电线路阻抗表</vt:lpstr>
      <vt:lpstr>变压器阻抗表</vt:lpstr>
      <vt:lpstr>母线阻抗表</vt:lpstr>
      <vt:lpstr>电力电缆短路阻抗</vt:lpstr>
      <vt:lpstr>多拼电缆阻抗</vt:lpstr>
      <vt:lpstr>铜导线钢管布线</vt:lpstr>
      <vt:lpstr>0.4kv电力系统短路阻抗</vt:lpstr>
      <vt:lpstr>变压器容量</vt:lpstr>
      <vt:lpstr>低压配电母线</vt:lpstr>
      <vt:lpstr>电缆</vt:lpstr>
      <vt:lpstr>电缆面积</vt:lpstr>
      <vt:lpstr>电力电缆</vt:lpstr>
      <vt:lpstr>电压</vt:lpstr>
      <vt:lpstr>多拼电缆</vt:lpstr>
      <vt:lpstr>封闭母线</vt:lpstr>
      <vt:lpstr>高压侧短路容量</vt:lpstr>
      <vt:lpstr>高压侧系统容量</vt:lpstr>
      <vt:lpstr>截面</vt:lpstr>
      <vt:lpstr>截面积</vt:lpstr>
      <vt:lpstr>母线额定电流</vt:lpstr>
      <vt:lpstr>母线规格</vt:lpstr>
      <vt:lpstr>母线相间距离</vt:lpstr>
      <vt:lpstr>时间</vt:lpstr>
      <vt:lpstr>系统容量</vt:lpstr>
      <vt:lpstr>线路截面积</vt:lpstr>
      <vt:lpstr>线路类型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penwe001</dc:creator>
  <cp:lastModifiedBy>lenovo</cp:lastModifiedBy>
  <cp:lastPrinted>2009-12-02T02:31:50Z</cp:lastPrinted>
  <dcterms:created xsi:type="dcterms:W3CDTF">2006-05-07T01:23:29Z</dcterms:created>
  <dcterms:modified xsi:type="dcterms:W3CDTF">2015-12-04T05:31:48Z</dcterms:modified>
</cp:coreProperties>
</file>